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KathyHamill/Desktop/"/>
    </mc:Choice>
  </mc:AlternateContent>
  <xr:revisionPtr revIDLastSave="0" documentId="13_ncr:1_{E83F26D3-869E-F34C-8A58-9B8CAC304AAD}" xr6:coauthVersionLast="47" xr6:coauthVersionMax="47" xr10:uidLastSave="{00000000-0000-0000-0000-000000000000}"/>
  <bookViews>
    <workbookView xWindow="28860" yWindow="500" windowWidth="33520" windowHeight="19060" activeTab="4" xr2:uid="{E17949DB-60F7-4B1D-B9FA-4D3D47673DFB}"/>
  </bookViews>
  <sheets>
    <sheet name="Summary Sheet" sheetId="7" r:id="rId1"/>
    <sheet name="Very Large Project" sheetId="1" r:id="rId2"/>
    <sheet name="Large Project" sheetId="4" r:id="rId3"/>
    <sheet name="Medium Project" sheetId="5" r:id="rId4"/>
    <sheet name="Small Project" sheetId="6" r:id="rId5"/>
  </sheets>
  <externalReferences>
    <externalReference r:id="rId6"/>
    <externalReference r:id="rId7"/>
    <externalReference r:id="rId8"/>
    <externalReference r:id="rId9"/>
    <externalReference r:id="rId10"/>
  </externalReferences>
  <definedNames>
    <definedName name="a">'[1]Project Data'!#REF!</definedName>
    <definedName name="ADMINCOST">#REF!</definedName>
    <definedName name="ADMINCOST1">#REF!</definedName>
    <definedName name="ADMINRATE">#REF!</definedName>
    <definedName name="BOND">#REF!</definedName>
    <definedName name="BPI">'[2]Green Sheet'!$N$5</definedName>
    <definedName name="BPIDATE">'[2]Green Sheet'!$N$4</definedName>
    <definedName name="Carcost_week">'[1]Project Data'!#REF!</definedName>
    <definedName name="carfinish">'[1]Project Data'!#REF!</definedName>
    <definedName name="cinfin">'[1]Project Data'!#REF!</definedName>
    <definedName name="CLEANTOT">#REF!</definedName>
    <definedName name="colfin">'[1]Project Data'!#REF!</definedName>
    <definedName name="CONTRACTVALUE">'[3]Preliminaries Sheet'!$E$6</definedName>
    <definedName name="CRANETOT">#REF!</definedName>
    <definedName name="CRNDUR">#REF!</definedName>
    <definedName name="CW1NS">#REF!</definedName>
    <definedName name="CW2NS">#REF!</definedName>
    <definedName name="CW2SAT">#REF!</definedName>
    <definedName name="CW3NS">#REF!</definedName>
    <definedName name="CW3SAT">#REF!</definedName>
    <definedName name="CW4NS">#REF!</definedName>
    <definedName name="CW4SAT">#REF!</definedName>
    <definedName name="CW5NS">#REF!</definedName>
    <definedName name="CW5SAT">#REF!</definedName>
    <definedName name="CW5SUN">#REF!</definedName>
    <definedName name="CW5TNS">#REF!</definedName>
    <definedName name="CW5TR">'[1]Project Data'!#REF!</definedName>
    <definedName name="CW5TSAT">#REF!</definedName>
    <definedName name="CW5TSUN">#REF!</definedName>
    <definedName name="CW6NS">#REF!</definedName>
    <definedName name="CW6SAT">#REF!</definedName>
    <definedName name="CW6SUN">#REF!</definedName>
    <definedName name="CW7NS">#REF!</definedName>
    <definedName name="CW7SAT">#REF!</definedName>
    <definedName name="CW7SUN">#REF!</definedName>
    <definedName name="CW8NS">#REF!</definedName>
    <definedName name="CW8SAT">#REF!</definedName>
    <definedName name="CW8SUN">#REF!</definedName>
    <definedName name="CWAPPDT">#REF!</definedName>
    <definedName name="CWAPPOT">#REF!</definedName>
    <definedName name="DEFR">'[3]Green Sheet'!#REF!</definedName>
    <definedName name="DEFRPER">'[3]Green Sheet'!#REF!</definedName>
    <definedName name="DiscContract">[4]HireRates!$C$6</definedName>
    <definedName name="DiscWeekly">[4]HireRates!$C$7</definedName>
    <definedName name="GENPRTOT">#REF!</definedName>
    <definedName name="GFA">'[3]Green Sheet'!$E$9</definedName>
    <definedName name="GFAS">'[2]Green Sheet'!$G$9</definedName>
    <definedName name="HireAlloyStair">[4]HireRates!$C$19</definedName>
    <definedName name="HireBaseOut">[4]HireRates!$C$10</definedName>
    <definedName name="HireBirdCageDeck">[4]HireRates!$C$25</definedName>
    <definedName name="HireBirdCageSteel">[4]HireRates!$C$26</definedName>
    <definedName name="HireDeck08">[4]HireRates!$C$14</definedName>
    <definedName name="HireDeck12">[4]HireRates!$C$13</definedName>
    <definedName name="HireHoarding">[4]HireRates!$C$27</definedName>
    <definedName name="HireHopUp2">[4]HireRates!$C$16</definedName>
    <definedName name="HireHopUp3">[4]HireRates!$C$17</definedName>
    <definedName name="HireJetMesh">[4]HireRates!$C$24</definedName>
    <definedName name="HireLadderAccess">[4]HireRates!$C$20</definedName>
    <definedName name="HireLiftShaft">[4]HireRates!$C$22</definedName>
    <definedName name="HireMeshGrd">[4]HireRates!$C$23</definedName>
    <definedName name="HireNeedle">[4]HireRates!$C$21</definedName>
    <definedName name="HireScaf08">[4]HireRates!$C$12</definedName>
    <definedName name="HireScaf12">[4]HireRates!$C$11</definedName>
    <definedName name="HireStretStair">[4]HireRates!$C$18</definedName>
    <definedName name="HOI1DUR">#REF!</definedName>
    <definedName name="HOI2DUR">#REF!</definedName>
    <definedName name="HOI2FIN">#REF!</definedName>
    <definedName name="HOIFIN">#REF!</definedName>
    <definedName name="HOISTOT">#REF!</definedName>
    <definedName name="ikfin">'[1]Project Data'!#REF!</definedName>
    <definedName name="kmfin">'[1]Project Data'!#REF!</definedName>
    <definedName name="Lab12DeckMove">[4]Labour!$I$52</definedName>
    <definedName name="Lab12DeckPlace">[4]Labour!$I$49</definedName>
    <definedName name="LabAlloyInd">[4]Labour!$I$43</definedName>
    <definedName name="LabAlloyToScaf">[4]Labour!$I$44</definedName>
    <definedName name="LabAnchorDynaset">[4]Labour!$I$68</definedName>
    <definedName name="LabBaseOut">[4]Labour!$I$17</definedName>
    <definedName name="LabBirdDeck">[4]Labour!$I$73</definedName>
    <definedName name="LabBirdSteel">[4]Labour!$I$72</definedName>
    <definedName name="LabChain">[4]Labour!$I$62</definedName>
    <definedName name="LabDeck08Move">[4]Labour!$I$53</definedName>
    <definedName name="LabHoarding">[4]Labour!$I$42</definedName>
    <definedName name="LabHU1Move">[4]Labour!$I$57</definedName>
    <definedName name="LabHU1Place">[4]Labour!$I$54</definedName>
    <definedName name="LabHU2Move">[4]Labour!$I$58</definedName>
    <definedName name="LabHU2Place">[4]Labour!$I$55</definedName>
    <definedName name="LabHU3Move">[4]Labour!$I$59</definedName>
    <definedName name="LabHU3PLace">[4]Labour!$I$56</definedName>
    <definedName name="LabJetmesh">[4]Labour!$I$64</definedName>
    <definedName name="LabLadderBeam">[4]Labour!$I$70</definedName>
    <definedName name="LabLadderInd">[4]Labour!$I$45</definedName>
    <definedName name="LabLadderToScaf">[4]Labour!$I$46</definedName>
    <definedName name="LabLiftShaft">[4]Labour!$I$74</definedName>
    <definedName name="LabMarkup">[4]Setup!$C$12</definedName>
    <definedName name="LabMeshGrdMove">[4]Labour!$I$61</definedName>
    <definedName name="LabMeshGrdPlace">[4]Labour!$I$60</definedName>
    <definedName name="LabNeedle">[4]Labour!$I$65</definedName>
    <definedName name="LabourSpur">[4]Labour!$I$71</definedName>
    <definedName name="LabPerNoCrane">[4]Labour!$D$7</definedName>
    <definedName name="LabRateNorm">[4]Labour!$D$2</definedName>
    <definedName name="LabShade">[4]Labour!$I$63</definedName>
    <definedName name="LabStretInd">[4]Labour!$I$47</definedName>
    <definedName name="LabStretToScaf">[4]Labour!$I$48</definedName>
    <definedName name="LABTOT">#REF!</definedName>
    <definedName name="ListWeekly">#REF!</definedName>
    <definedName name="Lookup08Crane">[4]Labour!$L$18:$M$21</definedName>
    <definedName name="Lookup08NoCrane">[4]Labour!$L$26:$M$33</definedName>
    <definedName name="Lookup12Crane">[4]Labour!$L$22:$M$25</definedName>
    <definedName name="Lookup12NoCrane">[4]Labour!$L$34:$M$41</definedName>
    <definedName name="lOOKUPcARRY">[4]Labour!$L$75:$M$79</definedName>
    <definedName name="malfin">'[1]Project Data'!#REF!</definedName>
    <definedName name="MARGIN">'[3]Green Sheet'!#REF!</definedName>
    <definedName name="MARPER">'[3]Green Sheet'!#REF!</definedName>
    <definedName name="NETENDERA">#REF!</definedName>
    <definedName name="NETPER">'[3]Green Sheet'!$N$42</definedName>
    <definedName name="NETTCOST">'[3]Preliminaries Sheet'!$E$5</definedName>
    <definedName name="NOHOISTS">#REF!</definedName>
    <definedName name="NTFINISH">#REF!</definedName>
    <definedName name="PCSUMS">#REF!</definedName>
    <definedName name="PERMTOT">#REF!</definedName>
    <definedName name="PMCOST">#REF!</definedName>
    <definedName name="PMRATE">#REF!</definedName>
    <definedName name="PRELTOT">#REF!</definedName>
    <definedName name="_xlnm.Print_Area" localSheetId="2">'Large Project'!$C$1:$AX$117</definedName>
    <definedName name="_xlnm.Print_Area" localSheetId="3">'Medium Project'!$C$1:$AX$114</definedName>
    <definedName name="_xlnm.Print_Area" localSheetId="4">'Small Project'!$C$1:$AX$108</definedName>
    <definedName name="_xlnm.Print_Area" localSheetId="0">'Summary Sheet'!$B$2:$U$27</definedName>
    <definedName name="_xlnm.Print_Area" localSheetId="1">'Very Large Project'!$C$1:$AX$120</definedName>
    <definedName name="_xlnm.Print_Titles" localSheetId="2">'Large Project'!$1:$15</definedName>
    <definedName name="_xlnm.Print_Titles" localSheetId="3">'Medium Project'!$1:$15</definedName>
    <definedName name="_xlnm.Print_Titles" localSheetId="4">'Small Project'!$1:$15</definedName>
    <definedName name="_xlnm.Print_Titles" localSheetId="1">'Very Large Project'!$1:$3</definedName>
    <definedName name="provsum">'[1]Provisional Sums'!$B$42</definedName>
    <definedName name="RECRUITCOST">'[3]Staff &amp; Resourcing'!#REF!</definedName>
    <definedName name="s1finish">'[1]Project Data'!#REF!</definedName>
    <definedName name="s1weeks">'[1]Project Data'!#REF!</definedName>
    <definedName name="s2finish">'[1]Project Data'!#REF!</definedName>
    <definedName name="s2weeks">'[1]Project Data'!#REF!</definedName>
    <definedName name="s3finish">'[1]Project Data'!#REF!</definedName>
    <definedName name="s3weeks">'[1]Project Data'!#REF!</definedName>
    <definedName name="SetUpHireBreak">[4]Setup!$C$9</definedName>
    <definedName name="SetupLabour">[4]Setup!$C$17</definedName>
    <definedName name="SetUpSole">[4]Setup!$C$10</definedName>
    <definedName name="SetupSundries">[4]Setup!$C$16</definedName>
    <definedName name="SetupTransport">[4]Setup!$C$18</definedName>
    <definedName name="SetupTransportAll">[4]Setup!$C$19</definedName>
    <definedName name="SetUpTruckSize">[4]Transport!$C$6</definedName>
    <definedName name="SetUpWaiver">[4]Setup!$C$14</definedName>
    <definedName name="sfinishstart">'[1]Project Data'!#REF!</definedName>
    <definedName name="SMCOST">#REF!</definedName>
    <definedName name="SMRATE">#REF!</definedName>
    <definedName name="SquareM">#REF!</definedName>
    <definedName name="STAFFWEEKS">'[3]Staff &amp; Resourcing'!$BW$172</definedName>
    <definedName name="SubTot1">'[3]Green Sheet'!#REF!</definedName>
    <definedName name="SubTot2">'[3]Green Sheet'!#REF!</definedName>
    <definedName name="SubTot5">'[3]Green Sheet'!#REF!</definedName>
    <definedName name="SunAnchor">[4]Sundries!$C$11</definedName>
    <definedName name="SunChainCost">[4]Sundries!$C$8</definedName>
    <definedName name="SunChainm2">[4]Sundries!$C$6</definedName>
    <definedName name="SunNeedleAnchor">[4]Sundries!$C$14</definedName>
    <definedName name="SunPlywood">[4]Sundries!$C$19</definedName>
    <definedName name="SunShadeCost">[4]Sundries!$C$9</definedName>
    <definedName name="SunShadem2">[4]Sundries!$C$7</definedName>
    <definedName name="SunSoleBrd">[4]Sundries!$C$10</definedName>
    <definedName name="SunVisqueen">[4]Sundries!$C$18</definedName>
    <definedName name="SUPTOT">#REF!</definedName>
    <definedName name="TEMPSERTOT">'[1]Office Setup'!#REF!</definedName>
    <definedName name="Total_Cost">#REF!</definedName>
    <definedName name="TranBird">[4]Transport!$C$10</definedName>
    <definedName name="TranHoardCWhts">[4]Transport!$C$12</definedName>
    <definedName name="TranHoardScaff">[4]Transport!$C$11</definedName>
    <definedName name="TranNeedles">[4]Transport!$C$13</definedName>
    <definedName name="TranRate">[4]Transport!$C$7</definedName>
    <definedName name="TranScaff">[4]Transport!$C$9</definedName>
    <definedName name="Transport">#REF!</definedName>
    <definedName name="TranTime">[4]Transport!$C$8</definedName>
    <definedName name="TRDTOT">'[5]TRADE SUMMARY'!$C$15</definedName>
    <definedName name="Waiver">[4]Setup!$C$13</definedName>
    <definedName name="WEEKS">'[3]Preliminaries Sheet'!$E$4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P82" i="6" l="1"/>
  <c r="F2" i="5"/>
  <c r="A83" i="4"/>
  <c r="S83" i="4"/>
  <c r="S80" i="5"/>
  <c r="T80" i="5"/>
  <c r="E69" i="1"/>
  <c r="O109" i="1" l="1"/>
  <c r="O108" i="1"/>
  <c r="O112" i="1"/>
  <c r="O107" i="1"/>
  <c r="O110" i="1"/>
  <c r="O105" i="1"/>
  <c r="S11" i="7"/>
  <c r="S10" i="7"/>
  <c r="S7" i="7"/>
  <c r="O11" i="7"/>
  <c r="O10" i="7"/>
  <c r="O7" i="7"/>
  <c r="K11" i="7"/>
  <c r="K10" i="7"/>
  <c r="K7" i="7"/>
  <c r="G11" i="7"/>
  <c r="G10" i="7"/>
  <c r="G7" i="7"/>
  <c r="E67" i="6"/>
  <c r="E66" i="6"/>
  <c r="E65" i="6"/>
  <c r="E64" i="6"/>
  <c r="E63" i="6"/>
  <c r="E62" i="6"/>
  <c r="E22" i="6"/>
  <c r="E21" i="6"/>
  <c r="E20" i="6"/>
  <c r="E19" i="6"/>
  <c r="E18" i="6"/>
  <c r="E17" i="6"/>
  <c r="G82" i="6"/>
  <c r="AQ80" i="6"/>
  <c r="AQ75" i="6"/>
  <c r="AP75" i="6"/>
  <c r="AQ67" i="6"/>
  <c r="AQ66" i="6"/>
  <c r="AQ65" i="6"/>
  <c r="AQ64" i="6"/>
  <c r="AQ63" i="6"/>
  <c r="AQ62" i="6"/>
  <c r="N60" i="6"/>
  <c r="O60" i="6" s="1"/>
  <c r="P60" i="6" s="1"/>
  <c r="H60" i="6"/>
  <c r="I60" i="6" s="1"/>
  <c r="AN59" i="6"/>
  <c r="AM59" i="6"/>
  <c r="AL59" i="6"/>
  <c r="AK59" i="6"/>
  <c r="AJ59" i="6"/>
  <c r="AI59" i="6"/>
  <c r="AH59" i="6"/>
  <c r="AG59" i="6"/>
  <c r="AF59" i="6"/>
  <c r="AD59" i="6"/>
  <c r="AC59" i="6"/>
  <c r="AB59" i="6"/>
  <c r="AA59" i="6"/>
  <c r="Z59" i="6"/>
  <c r="Y59" i="6"/>
  <c r="X59" i="6"/>
  <c r="W59" i="6"/>
  <c r="V59" i="6"/>
  <c r="U59" i="6"/>
  <c r="T59" i="6"/>
  <c r="S59" i="6"/>
  <c r="R59" i="6"/>
  <c r="Q59" i="6"/>
  <c r="P59" i="6"/>
  <c r="O59" i="6"/>
  <c r="N59" i="6"/>
  <c r="M59" i="6"/>
  <c r="L59" i="6"/>
  <c r="K59" i="6"/>
  <c r="J59" i="6"/>
  <c r="I59" i="6"/>
  <c r="H59" i="6"/>
  <c r="G59" i="6"/>
  <c r="F43" i="6"/>
  <c r="F85" i="6" s="1"/>
  <c r="A85" i="6" s="1"/>
  <c r="AG35" i="6"/>
  <c r="F35" i="6"/>
  <c r="A35" i="6" s="1"/>
  <c r="AG22" i="6"/>
  <c r="AG19" i="6"/>
  <c r="N15" i="6"/>
  <c r="O15" i="6" s="1"/>
  <c r="H15" i="6"/>
  <c r="I15" i="6" s="1"/>
  <c r="J15" i="6" s="1"/>
  <c r="K15" i="6" s="1"/>
  <c r="L15" i="6" s="1"/>
  <c r="AD14" i="6"/>
  <c r="AC14" i="6"/>
  <c r="AB14" i="6"/>
  <c r="AA14" i="6"/>
  <c r="Z14" i="6"/>
  <c r="Y14" i="6"/>
  <c r="X14" i="6"/>
  <c r="W14" i="6"/>
  <c r="V14" i="6"/>
  <c r="U14" i="6"/>
  <c r="T14" i="6"/>
  <c r="S14" i="6"/>
  <c r="R14" i="6"/>
  <c r="Q14" i="6"/>
  <c r="P14" i="6"/>
  <c r="O14" i="6"/>
  <c r="N14" i="6"/>
  <c r="M14" i="6"/>
  <c r="M24" i="6" s="1"/>
  <c r="L14" i="6"/>
  <c r="K14" i="6"/>
  <c r="J14" i="6"/>
  <c r="I14" i="6"/>
  <c r="H14" i="6"/>
  <c r="G14" i="6"/>
  <c r="F2" i="6"/>
  <c r="E73" i="5"/>
  <c r="E72" i="5"/>
  <c r="E71" i="5"/>
  <c r="E70" i="5"/>
  <c r="E69" i="5"/>
  <c r="E68" i="5"/>
  <c r="E67" i="5"/>
  <c r="E66" i="5"/>
  <c r="E65" i="5"/>
  <c r="E25" i="5"/>
  <c r="E24" i="5"/>
  <c r="E23" i="5"/>
  <c r="E22" i="5"/>
  <c r="E21" i="5"/>
  <c r="E20" i="5"/>
  <c r="E19" i="5"/>
  <c r="E18" i="5"/>
  <c r="E17" i="5"/>
  <c r="E17" i="1"/>
  <c r="G88" i="5"/>
  <c r="AQ81" i="5"/>
  <c r="AP81" i="5"/>
  <c r="AQ73" i="5"/>
  <c r="AQ72" i="5"/>
  <c r="AQ71" i="5"/>
  <c r="AQ70" i="5"/>
  <c r="AQ69" i="5"/>
  <c r="AQ68" i="5"/>
  <c r="AQ67" i="5"/>
  <c r="AQ66" i="5"/>
  <c r="AQ65" i="5"/>
  <c r="N63" i="5"/>
  <c r="O63" i="5" s="1"/>
  <c r="P63" i="5" s="1"/>
  <c r="H63" i="5"/>
  <c r="I63" i="5" s="1"/>
  <c r="AN62" i="5"/>
  <c r="AM62" i="5"/>
  <c r="AL62" i="5"/>
  <c r="AK62" i="5"/>
  <c r="AJ62" i="5"/>
  <c r="AI62" i="5"/>
  <c r="AH62" i="5"/>
  <c r="AG62" i="5"/>
  <c r="AF62" i="5"/>
  <c r="AD62" i="5"/>
  <c r="AC62" i="5"/>
  <c r="AB62" i="5"/>
  <c r="AA62" i="5"/>
  <c r="Z62" i="5"/>
  <c r="Y62" i="5"/>
  <c r="X62" i="5"/>
  <c r="W62" i="5"/>
  <c r="V62" i="5"/>
  <c r="U62" i="5"/>
  <c r="T62" i="5"/>
  <c r="S62" i="5"/>
  <c r="R62" i="5"/>
  <c r="Q62" i="5"/>
  <c r="P62" i="5"/>
  <c r="O62" i="5"/>
  <c r="N62" i="5"/>
  <c r="M62" i="5"/>
  <c r="L62" i="5"/>
  <c r="K62" i="5"/>
  <c r="J62" i="5"/>
  <c r="I62" i="5"/>
  <c r="H62" i="5"/>
  <c r="G62" i="5"/>
  <c r="F46" i="5"/>
  <c r="F91" i="5" s="1"/>
  <c r="A91" i="5" s="1"/>
  <c r="AG38" i="5"/>
  <c r="F38" i="5"/>
  <c r="A38" i="5" s="1"/>
  <c r="AG25" i="5"/>
  <c r="AG24" i="5"/>
  <c r="AG20" i="5"/>
  <c r="AG19" i="5"/>
  <c r="N15" i="5"/>
  <c r="O15" i="5" s="1"/>
  <c r="H15" i="5"/>
  <c r="I15" i="5" s="1"/>
  <c r="J15" i="5" s="1"/>
  <c r="K15" i="5" s="1"/>
  <c r="L15" i="5" s="1"/>
  <c r="AD14" i="5"/>
  <c r="AC14" i="5"/>
  <c r="AB14" i="5"/>
  <c r="AA14" i="5"/>
  <c r="Z14" i="5"/>
  <c r="Y14" i="5"/>
  <c r="X14" i="5"/>
  <c r="W14" i="5"/>
  <c r="V14" i="5"/>
  <c r="U14" i="5"/>
  <c r="T14" i="5"/>
  <c r="S14" i="5"/>
  <c r="R14" i="5"/>
  <c r="Q14" i="5"/>
  <c r="P14" i="5"/>
  <c r="O14" i="5"/>
  <c r="N14" i="5"/>
  <c r="M14" i="5"/>
  <c r="M27" i="5" s="1"/>
  <c r="L14" i="5"/>
  <c r="K14" i="5"/>
  <c r="J14" i="5"/>
  <c r="I14" i="5"/>
  <c r="H14" i="5"/>
  <c r="G14" i="5"/>
  <c r="E76" i="4"/>
  <c r="E75" i="4"/>
  <c r="E74" i="4"/>
  <c r="E73" i="4"/>
  <c r="E72" i="4"/>
  <c r="E71" i="4"/>
  <c r="E70" i="4"/>
  <c r="E69" i="4"/>
  <c r="E68" i="4"/>
  <c r="E67" i="4"/>
  <c r="E66" i="4"/>
  <c r="E26" i="4"/>
  <c r="E25" i="4"/>
  <c r="E24" i="4"/>
  <c r="E23" i="4"/>
  <c r="E22" i="4"/>
  <c r="E21" i="4"/>
  <c r="E20" i="4"/>
  <c r="E19" i="4"/>
  <c r="E18" i="4"/>
  <c r="E17" i="4"/>
  <c r="F39" i="4"/>
  <c r="A39" i="4" s="1"/>
  <c r="AA41" i="4" s="1"/>
  <c r="F47" i="4"/>
  <c r="F94" i="4" s="1"/>
  <c r="A94" i="4" s="1"/>
  <c r="AC96" i="4" s="1"/>
  <c r="F2" i="4"/>
  <c r="G91" i="4"/>
  <c r="AQ84" i="4"/>
  <c r="AP84" i="4"/>
  <c r="AQ76" i="4"/>
  <c r="AQ75" i="4"/>
  <c r="AQ74" i="4"/>
  <c r="AQ73" i="4"/>
  <c r="AQ72" i="4"/>
  <c r="AQ71" i="4"/>
  <c r="AQ70" i="4"/>
  <c r="AQ69" i="4"/>
  <c r="AQ68" i="4"/>
  <c r="AQ67" i="4"/>
  <c r="AQ66" i="4"/>
  <c r="N64" i="4"/>
  <c r="O64" i="4" s="1"/>
  <c r="P64" i="4" s="1"/>
  <c r="H64" i="4"/>
  <c r="I64" i="4" s="1"/>
  <c r="AN63" i="4"/>
  <c r="AM63" i="4"/>
  <c r="AL63" i="4"/>
  <c r="AK63" i="4"/>
  <c r="AJ63" i="4"/>
  <c r="AI63" i="4"/>
  <c r="AH63" i="4"/>
  <c r="AG63" i="4"/>
  <c r="AF63" i="4"/>
  <c r="AD63" i="4"/>
  <c r="AC63" i="4"/>
  <c r="AB63" i="4"/>
  <c r="AA63" i="4"/>
  <c r="Z63" i="4"/>
  <c r="Y63" i="4"/>
  <c r="X63" i="4"/>
  <c r="W63" i="4"/>
  <c r="V63" i="4"/>
  <c r="U63" i="4"/>
  <c r="T63" i="4"/>
  <c r="S63" i="4"/>
  <c r="R63" i="4"/>
  <c r="Q63" i="4"/>
  <c r="P63" i="4"/>
  <c r="O63" i="4"/>
  <c r="N63" i="4"/>
  <c r="M63" i="4"/>
  <c r="L63" i="4"/>
  <c r="K63" i="4"/>
  <c r="J63" i="4"/>
  <c r="I63" i="4"/>
  <c r="H63" i="4"/>
  <c r="G63" i="4"/>
  <c r="AG39" i="4"/>
  <c r="AG26" i="4"/>
  <c r="AG25" i="4"/>
  <c r="AG24" i="4"/>
  <c r="AG20" i="4"/>
  <c r="AG19" i="4"/>
  <c r="N15" i="4"/>
  <c r="O15" i="4" s="1"/>
  <c r="P15" i="4" s="1"/>
  <c r="Q15" i="4" s="1"/>
  <c r="R15" i="4" s="1"/>
  <c r="S15" i="4" s="1"/>
  <c r="T15" i="4" s="1"/>
  <c r="U15" i="4" s="1"/>
  <c r="V15" i="4" s="1"/>
  <c r="W15" i="4" s="1"/>
  <c r="X15" i="4" s="1"/>
  <c r="Y15" i="4" s="1"/>
  <c r="Z15" i="4" s="1"/>
  <c r="AA15" i="4" s="1"/>
  <c r="AB15" i="4" s="1"/>
  <c r="H15" i="4"/>
  <c r="I15" i="4" s="1"/>
  <c r="J15" i="4" s="1"/>
  <c r="AD14" i="4"/>
  <c r="AC14" i="4"/>
  <c r="AB14" i="4"/>
  <c r="AA14" i="4"/>
  <c r="Z14" i="4"/>
  <c r="Y14" i="4"/>
  <c r="X14" i="4"/>
  <c r="W14" i="4"/>
  <c r="V14" i="4"/>
  <c r="U14" i="4"/>
  <c r="T14" i="4"/>
  <c r="S14" i="4"/>
  <c r="R14" i="4"/>
  <c r="Q14" i="4"/>
  <c r="P14" i="4"/>
  <c r="O14" i="4"/>
  <c r="N14" i="4"/>
  <c r="M14" i="4"/>
  <c r="M28" i="4" s="1"/>
  <c r="L14" i="4"/>
  <c r="K14" i="4"/>
  <c r="J14" i="4"/>
  <c r="I14" i="4"/>
  <c r="H14" i="4"/>
  <c r="G14" i="4"/>
  <c r="G28" i="4" s="1"/>
  <c r="A91" i="1"/>
  <c r="AN91" i="1" s="1"/>
  <c r="A90" i="1"/>
  <c r="AB90" i="1" s="1"/>
  <c r="A89" i="1"/>
  <c r="AB89" i="1" s="1"/>
  <c r="A88" i="1"/>
  <c r="I88" i="1" s="1"/>
  <c r="A86" i="1"/>
  <c r="Y86" i="1" s="1"/>
  <c r="A87" i="1"/>
  <c r="A85" i="1"/>
  <c r="AF85" i="1" s="1"/>
  <c r="A84" i="1"/>
  <c r="O85" i="1" s="1"/>
  <c r="A35" i="1"/>
  <c r="Q35" i="1" s="1"/>
  <c r="A34" i="1"/>
  <c r="K34" i="1" s="1"/>
  <c r="A33" i="1"/>
  <c r="S33" i="1" s="1"/>
  <c r="A32" i="1"/>
  <c r="AA32" i="1" s="1"/>
  <c r="A40" i="1"/>
  <c r="AF40" i="1" s="1"/>
  <c r="E79" i="1"/>
  <c r="E78" i="1"/>
  <c r="E77" i="1"/>
  <c r="E76" i="1"/>
  <c r="E75" i="1"/>
  <c r="E74" i="1"/>
  <c r="E73" i="1"/>
  <c r="E72" i="1"/>
  <c r="E71" i="1"/>
  <c r="E70" i="1"/>
  <c r="E68" i="1"/>
  <c r="E67" i="1"/>
  <c r="E27" i="1"/>
  <c r="E26" i="1"/>
  <c r="E25" i="1"/>
  <c r="E24" i="1"/>
  <c r="E23" i="1"/>
  <c r="E22" i="1"/>
  <c r="E21" i="1"/>
  <c r="E20" i="1"/>
  <c r="E19" i="1"/>
  <c r="E18" i="1"/>
  <c r="F97" i="1"/>
  <c r="AG19" i="1"/>
  <c r="AQ70" i="1"/>
  <c r="AQ79" i="1"/>
  <c r="AQ78" i="1"/>
  <c r="AQ77" i="1"/>
  <c r="AQ76" i="1"/>
  <c r="AQ75" i="1"/>
  <c r="AQ74" i="1"/>
  <c r="AQ73" i="1"/>
  <c r="AQ72" i="1"/>
  <c r="AQ71" i="1"/>
  <c r="AQ69" i="1"/>
  <c r="AQ68" i="1"/>
  <c r="AQ67" i="1"/>
  <c r="G94" i="1"/>
  <c r="AQ87" i="1"/>
  <c r="AP87" i="1"/>
  <c r="AN64" i="1"/>
  <c r="AM64" i="1"/>
  <c r="AL64" i="1"/>
  <c r="AK64" i="1"/>
  <c r="AJ64" i="1"/>
  <c r="AI64" i="1"/>
  <c r="AH64" i="1"/>
  <c r="AG64" i="1"/>
  <c r="AF64" i="1"/>
  <c r="AD64" i="1"/>
  <c r="A87" i="4" l="1"/>
  <c r="AB87" i="4" s="1"/>
  <c r="A84" i="5"/>
  <c r="AB84" i="5" s="1"/>
  <c r="A78" i="6"/>
  <c r="AB78" i="6" s="1"/>
  <c r="O99" i="6"/>
  <c r="O108" i="4"/>
  <c r="AE75" i="5"/>
  <c r="Q28" i="4"/>
  <c r="N28" i="4"/>
  <c r="O105" i="5"/>
  <c r="N24" i="6"/>
  <c r="Q84" i="1"/>
  <c r="T84" i="1"/>
  <c r="O84" i="1"/>
  <c r="O94" i="1" s="1"/>
  <c r="P84" i="1"/>
  <c r="V84" i="1"/>
  <c r="AM84" i="1"/>
  <c r="W84" i="1"/>
  <c r="AN84" i="1"/>
  <c r="X84" i="1"/>
  <c r="I84" i="1"/>
  <c r="Y84" i="1"/>
  <c r="J84" i="1"/>
  <c r="Z84" i="1"/>
  <c r="K84" i="1"/>
  <c r="AA84" i="1"/>
  <c r="L84" i="1"/>
  <c r="AB84" i="1"/>
  <c r="M84" i="1"/>
  <c r="AC84" i="1"/>
  <c r="N84" i="1"/>
  <c r="AD84" i="1"/>
  <c r="AF84" i="1"/>
  <c r="AG84" i="1"/>
  <c r="AH84" i="1"/>
  <c r="R84" i="1"/>
  <c r="AI84" i="1"/>
  <c r="S84" i="1"/>
  <c r="AJ84" i="1"/>
  <c r="AK84" i="1"/>
  <c r="U84" i="1"/>
  <c r="AL84" i="1"/>
  <c r="H28" i="4"/>
  <c r="O111" i="1"/>
  <c r="T32" i="1"/>
  <c r="X88" i="1"/>
  <c r="Y88" i="1"/>
  <c r="W32" i="1"/>
  <c r="J88" i="1"/>
  <c r="J35" i="1"/>
  <c r="X89" i="1"/>
  <c r="AA88" i="1"/>
  <c r="P35" i="1"/>
  <c r="Y89" i="1"/>
  <c r="S32" i="1"/>
  <c r="U32" i="1"/>
  <c r="I35" i="1"/>
  <c r="Z88" i="1"/>
  <c r="X32" i="1"/>
  <c r="Z32" i="1"/>
  <c r="AB32" i="1"/>
  <c r="AC32" i="1"/>
  <c r="W85" i="1"/>
  <c r="AG89" i="1"/>
  <c r="AD32" i="1"/>
  <c r="AN85" i="1"/>
  <c r="AH89" i="1"/>
  <c r="J32" i="1"/>
  <c r="I32" i="1"/>
  <c r="AJ89" i="1"/>
  <c r="L32" i="1"/>
  <c r="I33" i="1"/>
  <c r="AG86" i="1"/>
  <c r="AK89" i="1"/>
  <c r="R32" i="1"/>
  <c r="K33" i="1"/>
  <c r="X90" i="1"/>
  <c r="M32" i="1"/>
  <c r="L33" i="1"/>
  <c r="Y90" i="1"/>
  <c r="N32" i="1"/>
  <c r="Y33" i="1"/>
  <c r="O32" i="1"/>
  <c r="AA33" i="1"/>
  <c r="P32" i="1"/>
  <c r="AB33" i="1"/>
  <c r="AQ91" i="1"/>
  <c r="AP91" i="1"/>
  <c r="T33" i="1"/>
  <c r="P85" i="1"/>
  <c r="AG85" i="1"/>
  <c r="Z86" i="1"/>
  <c r="AC89" i="1"/>
  <c r="U33" i="1"/>
  <c r="Q85" i="1"/>
  <c r="AH85" i="1"/>
  <c r="AA86" i="1"/>
  <c r="AD89" i="1"/>
  <c r="V33" i="1"/>
  <c r="R85" i="1"/>
  <c r="AI85" i="1"/>
  <c r="AB86" i="1"/>
  <c r="W33" i="1"/>
  <c r="S85" i="1"/>
  <c r="AJ85" i="1"/>
  <c r="AC86" i="1"/>
  <c r="AF89" i="1"/>
  <c r="H33" i="1"/>
  <c r="X33" i="1"/>
  <c r="T85" i="1"/>
  <c r="AK85" i="1"/>
  <c r="AD86" i="1"/>
  <c r="U85" i="1"/>
  <c r="AL85" i="1"/>
  <c r="Q32" i="1"/>
  <c r="J33" i="1"/>
  <c r="Z33" i="1"/>
  <c r="V85" i="1"/>
  <c r="AM85" i="1"/>
  <c r="AF86" i="1"/>
  <c r="AI89" i="1"/>
  <c r="H85" i="1"/>
  <c r="X85" i="1"/>
  <c r="AH86" i="1"/>
  <c r="M33" i="1"/>
  <c r="AC33" i="1"/>
  <c r="I85" i="1"/>
  <c r="Y85" i="1"/>
  <c r="S86" i="1"/>
  <c r="AI86" i="1"/>
  <c r="AL89" i="1"/>
  <c r="V32" i="1"/>
  <c r="N33" i="1"/>
  <c r="AD33" i="1"/>
  <c r="J85" i="1"/>
  <c r="Z85" i="1"/>
  <c r="T86" i="1"/>
  <c r="AJ86" i="1"/>
  <c r="W89" i="1"/>
  <c r="AM89" i="1"/>
  <c r="O33" i="1"/>
  <c r="G34" i="1"/>
  <c r="K85" i="1"/>
  <c r="AA85" i="1"/>
  <c r="U86" i="1"/>
  <c r="AK86" i="1"/>
  <c r="P33" i="1"/>
  <c r="L85" i="1"/>
  <c r="Y32" i="1"/>
  <c r="Q33" i="1"/>
  <c r="I34" i="1"/>
  <c r="M85" i="1"/>
  <c r="AC85" i="1"/>
  <c r="W86" i="1"/>
  <c r="AM86" i="1"/>
  <c r="Z89" i="1"/>
  <c r="Z90" i="1"/>
  <c r="H34" i="1"/>
  <c r="AB85" i="1"/>
  <c r="V86" i="1"/>
  <c r="AL86" i="1"/>
  <c r="R33" i="1"/>
  <c r="J34" i="1"/>
  <c r="N85" i="1"/>
  <c r="AD85" i="1"/>
  <c r="X86" i="1"/>
  <c r="AN86" i="1"/>
  <c r="AA89" i="1"/>
  <c r="AA90" i="1"/>
  <c r="K32" i="1"/>
  <c r="AE69" i="6"/>
  <c r="AR75" i="6"/>
  <c r="H24" i="6"/>
  <c r="I24" i="6"/>
  <c r="J24" i="6"/>
  <c r="K24" i="6"/>
  <c r="L24" i="6"/>
  <c r="M69" i="6"/>
  <c r="N69" i="6"/>
  <c r="O69" i="6"/>
  <c r="I69" i="6"/>
  <c r="AC37" i="6"/>
  <c r="P37" i="6"/>
  <c r="O37" i="6"/>
  <c r="N37" i="6"/>
  <c r="AD37" i="6"/>
  <c r="F44" i="6"/>
  <c r="A30" i="6"/>
  <c r="Q30" i="6" s="1"/>
  <c r="A76" i="6"/>
  <c r="AA76" i="6" s="1"/>
  <c r="AC87" i="6"/>
  <c r="M87" i="6"/>
  <c r="AB87" i="6"/>
  <c r="L87" i="6"/>
  <c r="AA87" i="6"/>
  <c r="K87" i="6"/>
  <c r="Z87" i="6"/>
  <c r="J87" i="6"/>
  <c r="Y87" i="6"/>
  <c r="I87" i="6"/>
  <c r="X87" i="6"/>
  <c r="H87" i="6"/>
  <c r="AN87" i="6"/>
  <c r="W87" i="6"/>
  <c r="G87" i="6"/>
  <c r="AM87" i="6"/>
  <c r="V87" i="6"/>
  <c r="AL87" i="6"/>
  <c r="U87" i="6"/>
  <c r="AK87" i="6"/>
  <c r="T87" i="6"/>
  <c r="AJ87" i="6"/>
  <c r="S87" i="6"/>
  <c r="AD87" i="6"/>
  <c r="AI87" i="6"/>
  <c r="R87" i="6"/>
  <c r="N87" i="6"/>
  <c r="AH87" i="6"/>
  <c r="Q87" i="6"/>
  <c r="AG87" i="6"/>
  <c r="P87" i="6"/>
  <c r="AF87" i="6"/>
  <c r="O87" i="6"/>
  <c r="J60" i="6"/>
  <c r="K60" i="6" s="1"/>
  <c r="L60" i="6" s="1"/>
  <c r="L69" i="6" s="1"/>
  <c r="P69" i="6"/>
  <c r="Q60" i="6"/>
  <c r="O24" i="6"/>
  <c r="P15" i="6"/>
  <c r="A27" i="6"/>
  <c r="Q37" i="6"/>
  <c r="R37" i="6"/>
  <c r="S37" i="6"/>
  <c r="AF35" i="6"/>
  <c r="AH35" i="6" s="1"/>
  <c r="T37" i="6"/>
  <c r="U37" i="6"/>
  <c r="G69" i="6"/>
  <c r="G24" i="6"/>
  <c r="A29" i="6"/>
  <c r="V37" i="6"/>
  <c r="H69" i="6"/>
  <c r="G37" i="6"/>
  <c r="W37" i="6"/>
  <c r="A79" i="6"/>
  <c r="AN79" i="6" s="1"/>
  <c r="H37" i="6"/>
  <c r="X37" i="6"/>
  <c r="I37" i="6"/>
  <c r="Y37" i="6"/>
  <c r="A77" i="6"/>
  <c r="J37" i="6"/>
  <c r="Z37" i="6"/>
  <c r="A72" i="6"/>
  <c r="A28" i="6"/>
  <c r="K37" i="6"/>
  <c r="AA37" i="6"/>
  <c r="A75" i="6"/>
  <c r="L37" i="6"/>
  <c r="AB37" i="6"/>
  <c r="M37" i="6"/>
  <c r="A73" i="6"/>
  <c r="K27" i="5"/>
  <c r="L27" i="5"/>
  <c r="N27" i="5"/>
  <c r="G75" i="5"/>
  <c r="I75" i="5"/>
  <c r="AR81" i="5"/>
  <c r="A32" i="4"/>
  <c r="V32" i="4" s="1"/>
  <c r="V28" i="4"/>
  <c r="A33" i="4"/>
  <c r="J33" i="4" s="1"/>
  <c r="A34" i="4"/>
  <c r="P34" i="4" s="1"/>
  <c r="A81" i="4"/>
  <c r="H82" i="4" s="1"/>
  <c r="H91" i="4" s="1"/>
  <c r="A82" i="4"/>
  <c r="X82" i="4" s="1"/>
  <c r="A86" i="4"/>
  <c r="AA86" i="4" s="1"/>
  <c r="A88" i="4"/>
  <c r="AN88" i="4" s="1"/>
  <c r="AQ88" i="4" s="1"/>
  <c r="A85" i="4"/>
  <c r="AA85" i="4" s="1"/>
  <c r="I28" i="4"/>
  <c r="J28" i="4"/>
  <c r="Z28" i="4"/>
  <c r="G78" i="4"/>
  <c r="AA28" i="4"/>
  <c r="H78" i="4"/>
  <c r="I78" i="4"/>
  <c r="A31" i="4"/>
  <c r="Q31" i="4" s="1"/>
  <c r="M78" i="4"/>
  <c r="N78" i="4"/>
  <c r="O78" i="4"/>
  <c r="AE78" i="4"/>
  <c r="F48" i="4"/>
  <c r="P78" i="4"/>
  <c r="T28" i="4"/>
  <c r="AR84" i="4"/>
  <c r="H27" i="5"/>
  <c r="I27" i="5"/>
  <c r="J27" i="5"/>
  <c r="M75" i="5"/>
  <c r="N75" i="5"/>
  <c r="O75" i="5"/>
  <c r="AC40" i="5"/>
  <c r="AD40" i="5"/>
  <c r="N40" i="5"/>
  <c r="A32" i="5"/>
  <c r="K32" i="5" s="1"/>
  <c r="O27" i="5"/>
  <c r="P15" i="5"/>
  <c r="Q15" i="5" s="1"/>
  <c r="R15" i="5" s="1"/>
  <c r="S15" i="5" s="1"/>
  <c r="T15" i="5" s="1"/>
  <c r="U15" i="5" s="1"/>
  <c r="V15" i="5" s="1"/>
  <c r="W15" i="5" s="1"/>
  <c r="X15" i="5" s="1"/>
  <c r="Y15" i="5" s="1"/>
  <c r="Z15" i="5" s="1"/>
  <c r="AA15" i="5" s="1"/>
  <c r="AB15" i="5" s="1"/>
  <c r="AC15" i="5" s="1"/>
  <c r="AD15" i="5" s="1"/>
  <c r="AD27" i="5" s="1"/>
  <c r="AC93" i="5"/>
  <c r="M93" i="5"/>
  <c r="AB93" i="5"/>
  <c r="L93" i="5"/>
  <c r="AA93" i="5"/>
  <c r="K93" i="5"/>
  <c r="Z93" i="5"/>
  <c r="J93" i="5"/>
  <c r="Y93" i="5"/>
  <c r="I93" i="5"/>
  <c r="X93" i="5"/>
  <c r="H93" i="5"/>
  <c r="AN93" i="5"/>
  <c r="W93" i="5"/>
  <c r="G93" i="5"/>
  <c r="AM93" i="5"/>
  <c r="V93" i="5"/>
  <c r="AL93" i="5"/>
  <c r="U93" i="5"/>
  <c r="AK93" i="5"/>
  <c r="T93" i="5"/>
  <c r="AJ93" i="5"/>
  <c r="S93" i="5"/>
  <c r="N93" i="5"/>
  <c r="AI93" i="5"/>
  <c r="R93" i="5"/>
  <c r="AH93" i="5"/>
  <c r="Q93" i="5"/>
  <c r="AD93" i="5"/>
  <c r="AG93" i="5"/>
  <c r="P93" i="5"/>
  <c r="AF93" i="5"/>
  <c r="O93" i="5"/>
  <c r="J63" i="5"/>
  <c r="K63" i="5" s="1"/>
  <c r="L63" i="5" s="1"/>
  <c r="L75" i="5" s="1"/>
  <c r="Q63" i="5"/>
  <c r="R63" i="5" s="1"/>
  <c r="S63" i="5" s="1"/>
  <c r="T63" i="5" s="1"/>
  <c r="U63" i="5" s="1"/>
  <c r="V63" i="5" s="1"/>
  <c r="W63" i="5" s="1"/>
  <c r="X63" i="5" s="1"/>
  <c r="Y63" i="5" s="1"/>
  <c r="Z63" i="5" s="1"/>
  <c r="AA63" i="5" s="1"/>
  <c r="AB63" i="5" s="1"/>
  <c r="AC63" i="5" s="1"/>
  <c r="AD63" i="5" s="1"/>
  <c r="AF63" i="5" s="1"/>
  <c r="P75" i="5"/>
  <c r="A33" i="5"/>
  <c r="O40" i="5"/>
  <c r="A82" i="5"/>
  <c r="P40" i="5"/>
  <c r="F47" i="5"/>
  <c r="A30" i="5"/>
  <c r="Q40" i="5"/>
  <c r="R40" i="5"/>
  <c r="S40" i="5"/>
  <c r="AF38" i="5"/>
  <c r="AH38" i="5" s="1"/>
  <c r="T40" i="5"/>
  <c r="U40" i="5"/>
  <c r="G27" i="5"/>
  <c r="V40" i="5"/>
  <c r="H75" i="5"/>
  <c r="G40" i="5"/>
  <c r="W40" i="5"/>
  <c r="A85" i="5"/>
  <c r="AN85" i="5" s="1"/>
  <c r="H40" i="5"/>
  <c r="X40" i="5"/>
  <c r="I40" i="5"/>
  <c r="Y40" i="5"/>
  <c r="A83" i="5"/>
  <c r="J40" i="5"/>
  <c r="Z40" i="5"/>
  <c r="A78" i="5"/>
  <c r="A31" i="5"/>
  <c r="K40" i="5"/>
  <c r="AA40" i="5"/>
  <c r="A81" i="5"/>
  <c r="L40" i="5"/>
  <c r="AB40" i="5"/>
  <c r="M40" i="5"/>
  <c r="A79" i="5"/>
  <c r="AF39" i="4"/>
  <c r="AH39" i="4" s="1"/>
  <c r="G41" i="4"/>
  <c r="H41" i="4"/>
  <c r="I41" i="4"/>
  <c r="J41" i="4"/>
  <c r="L41" i="4"/>
  <c r="M41" i="4"/>
  <c r="N41" i="4"/>
  <c r="P41" i="4"/>
  <c r="T41" i="4"/>
  <c r="X41" i="4"/>
  <c r="AB41" i="4"/>
  <c r="AD41" i="4"/>
  <c r="N96" i="4"/>
  <c r="O96" i="4"/>
  <c r="P96" i="4"/>
  <c r="Q96" i="4"/>
  <c r="AD96" i="4"/>
  <c r="AF96" i="4"/>
  <c r="AG96" i="4"/>
  <c r="A84" i="4"/>
  <c r="O28" i="4"/>
  <c r="K15" i="4"/>
  <c r="L15" i="4" s="1"/>
  <c r="L28" i="4" s="1"/>
  <c r="R28" i="4"/>
  <c r="AB28" i="4"/>
  <c r="AC15" i="4"/>
  <c r="AD15" i="4" s="1"/>
  <c r="AD28" i="4" s="1"/>
  <c r="S28" i="4"/>
  <c r="U28" i="4"/>
  <c r="J64" i="4"/>
  <c r="W28" i="4"/>
  <c r="Q64" i="4"/>
  <c r="R64" i="4" s="1"/>
  <c r="R78" i="4" s="1"/>
  <c r="X28" i="4"/>
  <c r="Y28" i="4"/>
  <c r="AC41" i="4"/>
  <c r="O41" i="4"/>
  <c r="AH96" i="4"/>
  <c r="R96" i="4"/>
  <c r="AI96" i="4"/>
  <c r="Q41" i="4"/>
  <c r="S96" i="4"/>
  <c r="AJ96" i="4"/>
  <c r="R41" i="4"/>
  <c r="T96" i="4"/>
  <c r="AK96" i="4"/>
  <c r="P28" i="4"/>
  <c r="S41" i="4"/>
  <c r="U96" i="4"/>
  <c r="AL96" i="4"/>
  <c r="V96" i="4"/>
  <c r="AM96" i="4"/>
  <c r="U41" i="4"/>
  <c r="G96" i="4"/>
  <c r="W96" i="4"/>
  <c r="AN96" i="4"/>
  <c r="V41" i="4"/>
  <c r="H96" i="4"/>
  <c r="X96" i="4"/>
  <c r="W41" i="4"/>
  <c r="I96" i="4"/>
  <c r="Y96" i="4"/>
  <c r="J96" i="4"/>
  <c r="Z96" i="4"/>
  <c r="Y41" i="4"/>
  <c r="K96" i="4"/>
  <c r="AA96" i="4"/>
  <c r="Z41" i="4"/>
  <c r="L96" i="4"/>
  <c r="AB96" i="4"/>
  <c r="K41" i="4"/>
  <c r="M96" i="4"/>
  <c r="Y84" i="5" l="1"/>
  <c r="Z84" i="5"/>
  <c r="Y87" i="4"/>
  <c r="I33" i="4"/>
  <c r="G33" i="4"/>
  <c r="G36" i="4" s="1"/>
  <c r="G43" i="4" s="1"/>
  <c r="F113" i="4" s="1"/>
  <c r="F114" i="4" s="1"/>
  <c r="AJ78" i="5"/>
  <c r="U78" i="5"/>
  <c r="R78" i="5"/>
  <c r="AD78" i="5"/>
  <c r="N78" i="5"/>
  <c r="Z78" i="5"/>
  <c r="AL78" i="5"/>
  <c r="AC27" i="5"/>
  <c r="K33" i="4"/>
  <c r="J32" i="5"/>
  <c r="AC78" i="5"/>
  <c r="H33" i="4"/>
  <c r="T78" i="5"/>
  <c r="J78" i="5"/>
  <c r="I32" i="5"/>
  <c r="AI78" i="5"/>
  <c r="Y78" i="5"/>
  <c r="X87" i="4"/>
  <c r="G32" i="5"/>
  <c r="G35" i="5" s="1"/>
  <c r="G42" i="5" s="1"/>
  <c r="F110" i="5" s="1"/>
  <c r="F111" i="5" s="1"/>
  <c r="AA84" i="5"/>
  <c r="X84" i="5"/>
  <c r="AH78" i="5"/>
  <c r="M78" i="5"/>
  <c r="I78" i="5"/>
  <c r="Q78" i="5"/>
  <c r="AN78" i="5"/>
  <c r="AG78" i="5"/>
  <c r="L78" i="5"/>
  <c r="W78" i="5"/>
  <c r="Z87" i="4"/>
  <c r="AF78" i="5"/>
  <c r="AA78" i="5"/>
  <c r="AM78" i="5"/>
  <c r="AA87" i="4"/>
  <c r="H32" i="5"/>
  <c r="AK78" i="5"/>
  <c r="O78" i="5"/>
  <c r="K78" i="5"/>
  <c r="V78" i="5"/>
  <c r="Z78" i="6"/>
  <c r="Q27" i="5"/>
  <c r="AA78" i="6"/>
  <c r="AF25" i="5"/>
  <c r="AH25" i="5" s="1"/>
  <c r="Z27" i="5"/>
  <c r="O82" i="4"/>
  <c r="K82" i="4"/>
  <c r="P82" i="4"/>
  <c r="N82" i="4"/>
  <c r="J82" i="4"/>
  <c r="Y27" i="5"/>
  <c r="Y78" i="6"/>
  <c r="AB27" i="5"/>
  <c r="R82" i="4"/>
  <c r="T27" i="5"/>
  <c r="X78" i="6"/>
  <c r="Q82" i="4"/>
  <c r="M82" i="4"/>
  <c r="I34" i="4"/>
  <c r="S27" i="5"/>
  <c r="P78" i="5"/>
  <c r="AB78" i="5"/>
  <c r="X78" i="5"/>
  <c r="S78" i="5"/>
  <c r="J34" i="4"/>
  <c r="Q34" i="4"/>
  <c r="AP88" i="4"/>
  <c r="AR88" i="4" s="1"/>
  <c r="AJ82" i="4"/>
  <c r="J85" i="4"/>
  <c r="I85" i="4"/>
  <c r="S82" i="4"/>
  <c r="V82" i="4"/>
  <c r="AM82" i="4"/>
  <c r="R27" i="5"/>
  <c r="AI82" i="4"/>
  <c r="AL82" i="4"/>
  <c r="T82" i="4"/>
  <c r="AH82" i="4"/>
  <c r="AN82" i="4"/>
  <c r="O100" i="6"/>
  <c r="O98" i="6"/>
  <c r="O97" i="6"/>
  <c r="O96" i="6"/>
  <c r="O95" i="6"/>
  <c r="O93" i="6"/>
  <c r="P30" i="6"/>
  <c r="Z85" i="4"/>
  <c r="O107" i="4"/>
  <c r="O105" i="4"/>
  <c r="O104" i="4"/>
  <c r="O102" i="4"/>
  <c r="O106" i="4"/>
  <c r="O109" i="4"/>
  <c r="O106" i="5"/>
  <c r="O104" i="5"/>
  <c r="O103" i="5"/>
  <c r="O102" i="5"/>
  <c r="O101" i="5"/>
  <c r="O99" i="5"/>
  <c r="AJ81" i="4"/>
  <c r="S81" i="4"/>
  <c r="AH81" i="4"/>
  <c r="Q81" i="4"/>
  <c r="AG81" i="4"/>
  <c r="P81" i="4"/>
  <c r="AK81" i="4"/>
  <c r="R81" i="4"/>
  <c r="AF81" i="4"/>
  <c r="O81" i="4"/>
  <c r="AD81" i="4"/>
  <c r="N81" i="4"/>
  <c r="AC81" i="4"/>
  <c r="M81" i="4"/>
  <c r="AB81" i="4"/>
  <c r="L81" i="4"/>
  <c r="AA81" i="4"/>
  <c r="K81" i="4"/>
  <c r="Z81" i="4"/>
  <c r="J81" i="4"/>
  <c r="Y81" i="4"/>
  <c r="I81" i="4"/>
  <c r="X81" i="4"/>
  <c r="AN81" i="4"/>
  <c r="W81" i="4"/>
  <c r="AM81" i="4"/>
  <c r="V81" i="4"/>
  <c r="AI81" i="4"/>
  <c r="AL81" i="4"/>
  <c r="U81" i="4"/>
  <c r="T81" i="4"/>
  <c r="I30" i="6"/>
  <c r="Y85" i="4"/>
  <c r="Z76" i="6"/>
  <c r="X85" i="4"/>
  <c r="Y76" i="6"/>
  <c r="X76" i="6"/>
  <c r="X72" i="6"/>
  <c r="AN72" i="6"/>
  <c r="W72" i="6"/>
  <c r="AM72" i="6"/>
  <c r="V72" i="6"/>
  <c r="AL72" i="6"/>
  <c r="U72" i="6"/>
  <c r="AK72" i="6"/>
  <c r="T72" i="6"/>
  <c r="AJ72" i="6"/>
  <c r="S72" i="6"/>
  <c r="R72" i="6"/>
  <c r="AI72" i="6"/>
  <c r="AH72" i="6"/>
  <c r="Q72" i="6"/>
  <c r="J72" i="6"/>
  <c r="AG72" i="6"/>
  <c r="P72" i="6"/>
  <c r="AF72" i="6"/>
  <c r="O72" i="6"/>
  <c r="AD72" i="6"/>
  <c r="N72" i="6"/>
  <c r="AC72" i="6"/>
  <c r="M72" i="6"/>
  <c r="AB72" i="6"/>
  <c r="L72" i="6"/>
  <c r="AA72" i="6"/>
  <c r="K72" i="6"/>
  <c r="Z72" i="6"/>
  <c r="Y72" i="6"/>
  <c r="I72" i="6"/>
  <c r="J76" i="6"/>
  <c r="I76" i="6"/>
  <c r="R94" i="1"/>
  <c r="J69" i="6"/>
  <c r="N32" i="4"/>
  <c r="P32" i="4"/>
  <c r="W82" i="4"/>
  <c r="AD82" i="4"/>
  <c r="J32" i="4"/>
  <c r="U82" i="4"/>
  <c r="AG82" i="4"/>
  <c r="AF82" i="4"/>
  <c r="AK82" i="4"/>
  <c r="AB82" i="4"/>
  <c r="AA82" i="4"/>
  <c r="Z82" i="4"/>
  <c r="AC82" i="4"/>
  <c r="Y82" i="4"/>
  <c r="L32" i="4"/>
  <c r="Y32" i="4"/>
  <c r="W32" i="4"/>
  <c r="T32" i="4"/>
  <c r="AB32" i="4"/>
  <c r="U32" i="4"/>
  <c r="Q32" i="4"/>
  <c r="O32" i="4"/>
  <c r="AC32" i="4"/>
  <c r="X32" i="4"/>
  <c r="S32" i="4"/>
  <c r="M32" i="4"/>
  <c r="H32" i="4"/>
  <c r="AA32" i="4"/>
  <c r="K32" i="4"/>
  <c r="I32" i="4"/>
  <c r="R32" i="4"/>
  <c r="AD32" i="4"/>
  <c r="Z32" i="4"/>
  <c r="AR91" i="1"/>
  <c r="P94" i="1"/>
  <c r="AQ88" i="1"/>
  <c r="AP88" i="1"/>
  <c r="K69" i="6"/>
  <c r="A74" i="6"/>
  <c r="Z74" i="6" s="1"/>
  <c r="A80" i="5"/>
  <c r="AA80" i="5" s="1"/>
  <c r="G98" i="4"/>
  <c r="F115" i="4" s="1"/>
  <c r="F116" i="4" s="1"/>
  <c r="AF83" i="4"/>
  <c r="AB94" i="1"/>
  <c r="AD37" i="1"/>
  <c r="W94" i="1"/>
  <c r="AG94" i="1"/>
  <c r="Z94" i="1"/>
  <c r="AM86" i="4"/>
  <c r="AJ86" i="4"/>
  <c r="AG86" i="4"/>
  <c r="W86" i="4"/>
  <c r="AD86" i="4"/>
  <c r="Z86" i="4"/>
  <c r="AC86" i="4"/>
  <c r="AK86" i="4"/>
  <c r="Y86" i="4"/>
  <c r="AH86" i="4"/>
  <c r="AI86" i="4"/>
  <c r="AL86" i="4"/>
  <c r="X86" i="4"/>
  <c r="AF86" i="4"/>
  <c r="AB86" i="4"/>
  <c r="V94" i="1"/>
  <c r="AA94" i="1"/>
  <c r="AQ89" i="1"/>
  <c r="Y94" i="1"/>
  <c r="AN94" i="1"/>
  <c r="AF94" i="1"/>
  <c r="AP84" i="1"/>
  <c r="I94" i="1"/>
  <c r="AD94" i="1"/>
  <c r="AC94" i="1"/>
  <c r="AP89" i="1"/>
  <c r="AH94" i="1"/>
  <c r="M94" i="1"/>
  <c r="AJ94" i="1"/>
  <c r="S94" i="1"/>
  <c r="AP85" i="1"/>
  <c r="H94" i="1"/>
  <c r="AQ85" i="1"/>
  <c r="X94" i="1"/>
  <c r="AL94" i="1"/>
  <c r="J94" i="1"/>
  <c r="U94" i="1"/>
  <c r="N94" i="1"/>
  <c r="L94" i="1"/>
  <c r="AQ84" i="1"/>
  <c r="AI94" i="1"/>
  <c r="AQ90" i="1"/>
  <c r="AP90" i="1"/>
  <c r="AK94" i="1"/>
  <c r="Q94" i="1"/>
  <c r="T94" i="1"/>
  <c r="K94" i="1"/>
  <c r="AQ86" i="1"/>
  <c r="AM94" i="1"/>
  <c r="AP86" i="1"/>
  <c r="J30" i="6"/>
  <c r="Y28" i="6"/>
  <c r="I28" i="6"/>
  <c r="X28" i="6"/>
  <c r="H28" i="6"/>
  <c r="W28" i="6"/>
  <c r="V28" i="6"/>
  <c r="U28" i="6"/>
  <c r="J28" i="6"/>
  <c r="T28" i="6"/>
  <c r="S28" i="6"/>
  <c r="R28" i="6"/>
  <c r="Q28" i="6"/>
  <c r="P28" i="6"/>
  <c r="O28" i="6"/>
  <c r="AD28" i="6"/>
  <c r="N28" i="6"/>
  <c r="AC28" i="6"/>
  <c r="M28" i="6"/>
  <c r="Z28" i="6"/>
  <c r="AB28" i="6"/>
  <c r="L28" i="6"/>
  <c r="AA28" i="6"/>
  <c r="K28" i="6"/>
  <c r="Q15" i="6"/>
  <c r="P24" i="6"/>
  <c r="H73" i="6"/>
  <c r="R73" i="6"/>
  <c r="Q73" i="6"/>
  <c r="P73" i="6"/>
  <c r="O73" i="6"/>
  <c r="N73" i="6"/>
  <c r="M73" i="6"/>
  <c r="L73" i="6"/>
  <c r="K73" i="6"/>
  <c r="J73" i="6"/>
  <c r="I73" i="6"/>
  <c r="G89" i="6"/>
  <c r="F106" i="6" s="1"/>
  <c r="F107" i="6" s="1"/>
  <c r="K29" i="6"/>
  <c r="J29" i="6"/>
  <c r="I29" i="6"/>
  <c r="H29" i="6"/>
  <c r="G29" i="6"/>
  <c r="Z77" i="6"/>
  <c r="Y77" i="6"/>
  <c r="X77" i="6"/>
  <c r="AA77" i="6"/>
  <c r="AM77" i="6"/>
  <c r="W77" i="6"/>
  <c r="AL77" i="6"/>
  <c r="AK77" i="6"/>
  <c r="AJ77" i="6"/>
  <c r="AI77" i="6"/>
  <c r="AH77" i="6"/>
  <c r="AG77" i="6"/>
  <c r="AF77" i="6"/>
  <c r="AD77" i="6"/>
  <c r="AC77" i="6"/>
  <c r="AB77" i="6"/>
  <c r="T27" i="6"/>
  <c r="S27" i="6"/>
  <c r="R27" i="6"/>
  <c r="Q27" i="6"/>
  <c r="P27" i="6"/>
  <c r="O27" i="6"/>
  <c r="AD27" i="6"/>
  <c r="N27" i="6"/>
  <c r="AC27" i="6"/>
  <c r="M27" i="6"/>
  <c r="AB27" i="6"/>
  <c r="L27" i="6"/>
  <c r="U27" i="6"/>
  <c r="AA27" i="6"/>
  <c r="K27" i="6"/>
  <c r="Z27" i="6"/>
  <c r="J27" i="6"/>
  <c r="Y27" i="6"/>
  <c r="I27" i="6"/>
  <c r="X27" i="6"/>
  <c r="W27" i="6"/>
  <c r="V27" i="6"/>
  <c r="AN73" i="6"/>
  <c r="W73" i="6"/>
  <c r="AM73" i="6"/>
  <c r="V73" i="6"/>
  <c r="AL73" i="6"/>
  <c r="U73" i="6"/>
  <c r="AK73" i="6"/>
  <c r="T73" i="6"/>
  <c r="X73" i="6"/>
  <c r="AJ73" i="6"/>
  <c r="S73" i="6"/>
  <c r="AI73" i="6"/>
  <c r="AH73" i="6"/>
  <c r="AG73" i="6"/>
  <c r="AF73" i="6"/>
  <c r="AD73" i="6"/>
  <c r="AC73" i="6"/>
  <c r="AB73" i="6"/>
  <c r="AA73" i="6"/>
  <c r="Z73" i="6"/>
  <c r="Y73" i="6"/>
  <c r="AQ79" i="6"/>
  <c r="AP79" i="6"/>
  <c r="R60" i="6"/>
  <c r="Q69" i="6"/>
  <c r="AQ87" i="6"/>
  <c r="AP87" i="6"/>
  <c r="AG37" i="6"/>
  <c r="AF37" i="6"/>
  <c r="E94" i="6" s="1"/>
  <c r="AA27" i="5"/>
  <c r="AF19" i="5"/>
  <c r="AH19" i="5" s="1"/>
  <c r="V31" i="4"/>
  <c r="V36" i="4" s="1"/>
  <c r="V43" i="4" s="1"/>
  <c r="U113" i="4" s="1"/>
  <c r="R31" i="4"/>
  <c r="AB31" i="4"/>
  <c r="L31" i="4"/>
  <c r="X31" i="4"/>
  <c r="N31" i="4"/>
  <c r="U31" i="4"/>
  <c r="J31" i="4"/>
  <c r="I82" i="4"/>
  <c r="O31" i="4"/>
  <c r="AC31" i="4"/>
  <c r="P31" i="4"/>
  <c r="M31" i="4"/>
  <c r="Y31" i="4"/>
  <c r="L82" i="4"/>
  <c r="I31" i="4"/>
  <c r="K31" i="4"/>
  <c r="AD31" i="4"/>
  <c r="W31" i="4"/>
  <c r="Z31" i="4"/>
  <c r="AA31" i="4"/>
  <c r="S31" i="4"/>
  <c r="T31" i="4"/>
  <c r="J78" i="4"/>
  <c r="K64" i="4"/>
  <c r="Q78" i="4"/>
  <c r="S75" i="5"/>
  <c r="X27" i="5"/>
  <c r="J75" i="5"/>
  <c r="W27" i="5"/>
  <c r="AF24" i="5"/>
  <c r="AH24" i="5" s="1"/>
  <c r="V27" i="5"/>
  <c r="U27" i="5"/>
  <c r="AG63" i="5"/>
  <c r="AF75" i="5"/>
  <c r="Y75" i="5"/>
  <c r="V75" i="5"/>
  <c r="AA82" i="5"/>
  <c r="Z82" i="5"/>
  <c r="Y82" i="5"/>
  <c r="X82" i="5"/>
  <c r="J82" i="5"/>
  <c r="I82" i="5"/>
  <c r="AD75" i="5"/>
  <c r="AQ85" i="5"/>
  <c r="AP85" i="5"/>
  <c r="R75" i="5"/>
  <c r="Y31" i="5"/>
  <c r="I31" i="5"/>
  <c r="X31" i="5"/>
  <c r="H31" i="5"/>
  <c r="W31" i="5"/>
  <c r="V31" i="5"/>
  <c r="U31" i="5"/>
  <c r="T31" i="5"/>
  <c r="Z31" i="5"/>
  <c r="S31" i="5"/>
  <c r="R31" i="5"/>
  <c r="Q31" i="5"/>
  <c r="P31" i="5"/>
  <c r="O31" i="5"/>
  <c r="AD31" i="5"/>
  <c r="N31" i="5"/>
  <c r="AC31" i="5"/>
  <c r="M31" i="5"/>
  <c r="AB31" i="5"/>
  <c r="L31" i="5"/>
  <c r="AA31" i="5"/>
  <c r="K31" i="5"/>
  <c r="J31" i="5"/>
  <c r="Q33" i="5"/>
  <c r="P33" i="5"/>
  <c r="J33" i="5"/>
  <c r="I33" i="5"/>
  <c r="AQ93" i="5"/>
  <c r="AP93" i="5"/>
  <c r="AC75" i="5"/>
  <c r="AG40" i="5"/>
  <c r="AF40" i="5"/>
  <c r="U75" i="5"/>
  <c r="AB75" i="5"/>
  <c r="Z75" i="5"/>
  <c r="X75" i="5"/>
  <c r="Q75" i="5"/>
  <c r="AA75" i="5"/>
  <c r="H79" i="5"/>
  <c r="R79" i="5"/>
  <c r="Q79" i="5"/>
  <c r="P79" i="5"/>
  <c r="O79" i="5"/>
  <c r="N79" i="5"/>
  <c r="M79" i="5"/>
  <c r="L79" i="5"/>
  <c r="K79" i="5"/>
  <c r="J79" i="5"/>
  <c r="I79" i="5"/>
  <c r="T75" i="5"/>
  <c r="K75" i="5"/>
  <c r="AN79" i="5"/>
  <c r="W79" i="5"/>
  <c r="AM79" i="5"/>
  <c r="V79" i="5"/>
  <c r="X79" i="5"/>
  <c r="AL79" i="5"/>
  <c r="U79" i="5"/>
  <c r="AK79" i="5"/>
  <c r="T79" i="5"/>
  <c r="AJ79" i="5"/>
  <c r="S79" i="5"/>
  <c r="AI79" i="5"/>
  <c r="AH79" i="5"/>
  <c r="AG79" i="5"/>
  <c r="AF79" i="5"/>
  <c r="AD79" i="5"/>
  <c r="AC79" i="5"/>
  <c r="AB79" i="5"/>
  <c r="AA79" i="5"/>
  <c r="Z79" i="5"/>
  <c r="Y79" i="5"/>
  <c r="Z83" i="5"/>
  <c r="Y83" i="5"/>
  <c r="X83" i="5"/>
  <c r="AA83" i="5"/>
  <c r="AM83" i="5"/>
  <c r="W83" i="5"/>
  <c r="AL83" i="5"/>
  <c r="AK83" i="5"/>
  <c r="AJ83" i="5"/>
  <c r="AI83" i="5"/>
  <c r="AH83" i="5"/>
  <c r="AG83" i="5"/>
  <c r="AF83" i="5"/>
  <c r="AD83" i="5"/>
  <c r="AC83" i="5"/>
  <c r="AB83" i="5"/>
  <c r="T30" i="5"/>
  <c r="S30" i="5"/>
  <c r="R30" i="5"/>
  <c r="Q30" i="5"/>
  <c r="P30" i="5"/>
  <c r="O30" i="5"/>
  <c r="AD30" i="5"/>
  <c r="N30" i="5"/>
  <c r="U30" i="5"/>
  <c r="AC30" i="5"/>
  <c r="M30" i="5"/>
  <c r="AB30" i="5"/>
  <c r="L30" i="5"/>
  <c r="AA30" i="5"/>
  <c r="K30" i="5"/>
  <c r="Z30" i="5"/>
  <c r="J30" i="5"/>
  <c r="Y30" i="5"/>
  <c r="I30" i="5"/>
  <c r="X30" i="5"/>
  <c r="W30" i="5"/>
  <c r="V30" i="5"/>
  <c r="G95" i="5"/>
  <c r="F112" i="5" s="1"/>
  <c r="F113" i="5" s="1"/>
  <c r="W75" i="5"/>
  <c r="AF20" i="5"/>
  <c r="AH20" i="5" s="1"/>
  <c r="P27" i="5"/>
  <c r="AG41" i="4"/>
  <c r="AF20" i="4"/>
  <c r="AH20" i="4" s="1"/>
  <c r="AF25" i="4"/>
  <c r="AH25" i="4" s="1"/>
  <c r="AF26" i="4"/>
  <c r="AH26" i="4" s="1"/>
  <c r="H98" i="4"/>
  <c r="G115" i="4" s="1"/>
  <c r="AF41" i="4"/>
  <c r="E103" i="4" s="1"/>
  <c r="AF24" i="4"/>
  <c r="AH24" i="4" s="1"/>
  <c r="AQ96" i="4"/>
  <c r="AP96" i="4"/>
  <c r="AF19" i="4"/>
  <c r="AH19" i="4" s="1"/>
  <c r="K28" i="4"/>
  <c r="S64" i="4"/>
  <c r="S78" i="4" s="1"/>
  <c r="AC28" i="4"/>
  <c r="A97" i="1"/>
  <c r="N65" i="1"/>
  <c r="O65" i="1" s="1"/>
  <c r="P65" i="1" s="1"/>
  <c r="Q65" i="1" s="1"/>
  <c r="R65" i="1" s="1"/>
  <c r="S65" i="1" s="1"/>
  <c r="T65" i="1" s="1"/>
  <c r="U65" i="1" s="1"/>
  <c r="V65" i="1" s="1"/>
  <c r="W65" i="1" s="1"/>
  <c r="X65" i="1" s="1"/>
  <c r="H65" i="1"/>
  <c r="I65" i="1" s="1"/>
  <c r="J65" i="1" s="1"/>
  <c r="AC64" i="1"/>
  <c r="AB64" i="1"/>
  <c r="AA64" i="1"/>
  <c r="Z64" i="1"/>
  <c r="Y64" i="1"/>
  <c r="X64" i="1"/>
  <c r="W64" i="1"/>
  <c r="V64" i="1"/>
  <c r="U64" i="1"/>
  <c r="T64" i="1"/>
  <c r="S64" i="1"/>
  <c r="R64" i="1"/>
  <c r="Q64" i="1"/>
  <c r="P64" i="1"/>
  <c r="O64" i="1"/>
  <c r="N64" i="1"/>
  <c r="M64" i="1"/>
  <c r="M81" i="1" s="1"/>
  <c r="L64" i="1"/>
  <c r="K64" i="1"/>
  <c r="J64" i="1"/>
  <c r="I64" i="1"/>
  <c r="H64" i="1"/>
  <c r="G64" i="1"/>
  <c r="AG35" i="1"/>
  <c r="AG34" i="1"/>
  <c r="AG33" i="1"/>
  <c r="AG32" i="1"/>
  <c r="AF32" i="1"/>
  <c r="AF33" i="1"/>
  <c r="AF34" i="1"/>
  <c r="AF35" i="1"/>
  <c r="AG40" i="1"/>
  <c r="AG27" i="1"/>
  <c r="AG26" i="1"/>
  <c r="AG25" i="1"/>
  <c r="AG22" i="1"/>
  <c r="AG21" i="1"/>
  <c r="AG20" i="1"/>
  <c r="AC37" i="1"/>
  <c r="AB37" i="1"/>
  <c r="AA37" i="1"/>
  <c r="Z37" i="1"/>
  <c r="Y37" i="1"/>
  <c r="X37" i="1"/>
  <c r="W37" i="1"/>
  <c r="V37" i="1"/>
  <c r="U37" i="1"/>
  <c r="T37" i="1"/>
  <c r="S37" i="1"/>
  <c r="R37" i="1"/>
  <c r="Q37" i="1"/>
  <c r="P37" i="1"/>
  <c r="O37" i="1"/>
  <c r="N37" i="1"/>
  <c r="M37" i="1"/>
  <c r="L37" i="1"/>
  <c r="K37" i="1"/>
  <c r="J37" i="1"/>
  <c r="I37" i="1"/>
  <c r="H37" i="1"/>
  <c r="G37" i="1"/>
  <c r="O81" i="1" l="1"/>
  <c r="AQ84" i="5"/>
  <c r="R91" i="4"/>
  <c r="R98" i="4" s="1"/>
  <c r="Q115" i="4" s="1"/>
  <c r="AQ87" i="4"/>
  <c r="AP84" i="5"/>
  <c r="U32" i="6"/>
  <c r="AG33" i="4"/>
  <c r="AF33" i="4"/>
  <c r="M36" i="4"/>
  <c r="M43" i="4" s="1"/>
  <c r="L113" i="4" s="1"/>
  <c r="AF32" i="5"/>
  <c r="AP87" i="4"/>
  <c r="H36" i="4"/>
  <c r="H43" i="4" s="1"/>
  <c r="G113" i="4" s="1"/>
  <c r="G114" i="4" s="1"/>
  <c r="I91" i="4"/>
  <c r="I98" i="4" s="1"/>
  <c r="H115" i="4" s="1"/>
  <c r="AG32" i="5"/>
  <c r="AG34" i="4"/>
  <c r="N91" i="4"/>
  <c r="N98" i="4" s="1"/>
  <c r="M115" i="4" s="1"/>
  <c r="Q91" i="4"/>
  <c r="Q98" i="4" s="1"/>
  <c r="P115" i="4" s="1"/>
  <c r="AP78" i="6"/>
  <c r="J91" i="4"/>
  <c r="J98" i="4" s="1"/>
  <c r="I115" i="4" s="1"/>
  <c r="S32" i="6"/>
  <c r="AQ78" i="6"/>
  <c r="Q36" i="4"/>
  <c r="Q43" i="4" s="1"/>
  <c r="P113" i="4" s="1"/>
  <c r="AF34" i="4"/>
  <c r="AP76" i="6"/>
  <c r="J36" i="4"/>
  <c r="J43" i="4" s="1"/>
  <c r="I113" i="4" s="1"/>
  <c r="K91" i="4"/>
  <c r="O91" i="4"/>
  <c r="O98" i="4" s="1"/>
  <c r="N115" i="4" s="1"/>
  <c r="T32" i="6"/>
  <c r="M91" i="4"/>
  <c r="M98" i="4" s="1"/>
  <c r="L115" i="4" s="1"/>
  <c r="P91" i="4"/>
  <c r="P98" i="4" s="1"/>
  <c r="O115" i="4" s="1"/>
  <c r="AC32" i="6"/>
  <c r="M32" i="6"/>
  <c r="M39" i="6" s="1"/>
  <c r="L104" i="6" s="1"/>
  <c r="U36" i="4"/>
  <c r="U43" i="4" s="1"/>
  <c r="T113" i="4" s="1"/>
  <c r="T36" i="4"/>
  <c r="T43" i="4" s="1"/>
  <c r="S113" i="4" s="1"/>
  <c r="O36" i="4"/>
  <c r="O43" i="4" s="1"/>
  <c r="N113" i="4" s="1"/>
  <c r="AG30" i="6"/>
  <c r="AC36" i="4"/>
  <c r="AC43" i="4" s="1"/>
  <c r="AB113" i="4" s="1"/>
  <c r="W36" i="4"/>
  <c r="W43" i="4" s="1"/>
  <c r="V113" i="4" s="1"/>
  <c r="O35" i="5"/>
  <c r="O42" i="5" s="1"/>
  <c r="N110" i="5" s="1"/>
  <c r="L91" i="4"/>
  <c r="U35" i="5"/>
  <c r="U42" i="5" s="1"/>
  <c r="T110" i="5" s="1"/>
  <c r="S36" i="4"/>
  <c r="S43" i="4" s="1"/>
  <c r="R113" i="4" s="1"/>
  <c r="G116" i="4"/>
  <c r="N36" i="4"/>
  <c r="N43" i="4" s="1"/>
  <c r="M113" i="4" s="1"/>
  <c r="Z36" i="4"/>
  <c r="Z43" i="4" s="1"/>
  <c r="Y113" i="4" s="1"/>
  <c r="X36" i="4"/>
  <c r="X43" i="4" s="1"/>
  <c r="W113" i="4" s="1"/>
  <c r="AA32" i="6"/>
  <c r="AQ85" i="4"/>
  <c r="AF30" i="6"/>
  <c r="AB36" i="4"/>
  <c r="AB43" i="4" s="1"/>
  <c r="AA113" i="4" s="1"/>
  <c r="AQ76" i="6"/>
  <c r="V32" i="6"/>
  <c r="R36" i="4"/>
  <c r="R43" i="4" s="1"/>
  <c r="Q113" i="4" s="1"/>
  <c r="J32" i="6"/>
  <c r="J39" i="6" s="1"/>
  <c r="I104" i="6" s="1"/>
  <c r="AP85" i="4"/>
  <c r="AF32" i="4"/>
  <c r="Y36" i="4"/>
  <c r="Y43" i="4" s="1"/>
  <c r="X113" i="4" s="1"/>
  <c r="P36" i="4"/>
  <c r="P43" i="4" s="1"/>
  <c r="O113" i="4" s="1"/>
  <c r="X32" i="6"/>
  <c r="Y32" i="6"/>
  <c r="Z32" i="6"/>
  <c r="W32" i="6"/>
  <c r="L32" i="6"/>
  <c r="L39" i="6" s="1"/>
  <c r="K104" i="6" s="1"/>
  <c r="AB80" i="5"/>
  <c r="AB88" i="5" s="1"/>
  <c r="AB95" i="5" s="1"/>
  <c r="AA112" i="5" s="1"/>
  <c r="Y35" i="5"/>
  <c r="Y42" i="5" s="1"/>
  <c r="X110" i="5" s="1"/>
  <c r="S88" i="5"/>
  <c r="S95" i="5" s="1"/>
  <c r="R112" i="5" s="1"/>
  <c r="AC35" i="5"/>
  <c r="AC42" i="5" s="1"/>
  <c r="AB110" i="5" s="1"/>
  <c r="N35" i="5"/>
  <c r="N42" i="5" s="1"/>
  <c r="M110" i="5" s="1"/>
  <c r="T88" i="5"/>
  <c r="T95" i="5" s="1"/>
  <c r="S112" i="5" s="1"/>
  <c r="AD80" i="5"/>
  <c r="AD88" i="5" s="1"/>
  <c r="AD95" i="5" s="1"/>
  <c r="AC112" i="5" s="1"/>
  <c r="AI80" i="5"/>
  <c r="AI88" i="5" s="1"/>
  <c r="AJ80" i="5"/>
  <c r="AJ88" i="5" s="1"/>
  <c r="AC80" i="5"/>
  <c r="AC88" i="5" s="1"/>
  <c r="AC95" i="5" s="1"/>
  <c r="AB112" i="5" s="1"/>
  <c r="U80" i="5"/>
  <c r="U88" i="5" s="1"/>
  <c r="U95" i="5" s="1"/>
  <c r="T112" i="5" s="1"/>
  <c r="AK80" i="5"/>
  <c r="AK88" i="5" s="1"/>
  <c r="V80" i="5"/>
  <c r="V88" i="5" s="1"/>
  <c r="V95" i="5" s="1"/>
  <c r="U112" i="5" s="1"/>
  <c r="AL80" i="5"/>
  <c r="AL88" i="5" s="1"/>
  <c r="W80" i="5"/>
  <c r="W88" i="5" s="1"/>
  <c r="W95" i="5" s="1"/>
  <c r="V112" i="5" s="1"/>
  <c r="AM80" i="5"/>
  <c r="AM88" i="5" s="1"/>
  <c r="X80" i="5"/>
  <c r="X88" i="5" s="1"/>
  <c r="X95" i="5" s="1"/>
  <c r="W112" i="5" s="1"/>
  <c r="AN80" i="5"/>
  <c r="AN88" i="5" s="1"/>
  <c r="AF80" i="5"/>
  <c r="AF88" i="5" s="1"/>
  <c r="AF95" i="5" s="1"/>
  <c r="AD112" i="5" s="1"/>
  <c r="Y80" i="5"/>
  <c r="Y88" i="5" s="1"/>
  <c r="Y95" i="5" s="1"/>
  <c r="X112" i="5" s="1"/>
  <c r="AG80" i="5"/>
  <c r="AG88" i="5" s="1"/>
  <c r="Z80" i="5"/>
  <c r="Z88" i="5" s="1"/>
  <c r="Z95" i="5" s="1"/>
  <c r="Y112" i="5" s="1"/>
  <c r="AH80" i="5"/>
  <c r="AH88" i="5" s="1"/>
  <c r="I36" i="4"/>
  <c r="I43" i="4" s="1"/>
  <c r="H113" i="4" s="1"/>
  <c r="AD36" i="4"/>
  <c r="AD43" i="4" s="1"/>
  <c r="AC113" i="4" s="1"/>
  <c r="K36" i="4"/>
  <c r="K43" i="4" s="1"/>
  <c r="J113" i="4" s="1"/>
  <c r="L36" i="4"/>
  <c r="L43" i="4" s="1"/>
  <c r="K113" i="4" s="1"/>
  <c r="AG32" i="4"/>
  <c r="AA36" i="4"/>
  <c r="AA43" i="4" s="1"/>
  <c r="Z113" i="4" s="1"/>
  <c r="AR86" i="1"/>
  <c r="AB74" i="6"/>
  <c r="AB82" i="6" s="1"/>
  <c r="V74" i="6"/>
  <c r="V82" i="6" s="1"/>
  <c r="AK74" i="6"/>
  <c r="AK82" i="6" s="1"/>
  <c r="AM74" i="6"/>
  <c r="AM82" i="6" s="1"/>
  <c r="U74" i="6"/>
  <c r="U82" i="6" s="1"/>
  <c r="AJ74" i="6"/>
  <c r="AJ82" i="6" s="1"/>
  <c r="T74" i="6"/>
  <c r="T82" i="6" s="1"/>
  <c r="AI74" i="6"/>
  <c r="AI82" i="6" s="1"/>
  <c r="S74" i="6"/>
  <c r="S82" i="6" s="1"/>
  <c r="AD74" i="6"/>
  <c r="AD82" i="6" s="1"/>
  <c r="AH74" i="6"/>
  <c r="AH82" i="6" s="1"/>
  <c r="AC74" i="6"/>
  <c r="AC82" i="6" s="1"/>
  <c r="AG74" i="6"/>
  <c r="AG82" i="6" s="1"/>
  <c r="AA74" i="6"/>
  <c r="AA82" i="6" s="1"/>
  <c r="AF74" i="6"/>
  <c r="AF82" i="6" s="1"/>
  <c r="Y74" i="6"/>
  <c r="Y82" i="6" s="1"/>
  <c r="AN74" i="6"/>
  <c r="AN82" i="6" s="1"/>
  <c r="X74" i="6"/>
  <c r="X82" i="6" s="1"/>
  <c r="W74" i="6"/>
  <c r="W82" i="6" s="1"/>
  <c r="AL74" i="6"/>
  <c r="AL82" i="6" s="1"/>
  <c r="R35" i="5"/>
  <c r="R42" i="5" s="1"/>
  <c r="Q110" i="5" s="1"/>
  <c r="S35" i="5"/>
  <c r="S42" i="5" s="1"/>
  <c r="R110" i="5" s="1"/>
  <c r="J35" i="5"/>
  <c r="J42" i="5" s="1"/>
  <c r="I110" i="5" s="1"/>
  <c r="T35" i="5"/>
  <c r="T42" i="5" s="1"/>
  <c r="S110" i="5" s="1"/>
  <c r="AQ86" i="4"/>
  <c r="AP86" i="4"/>
  <c r="Z83" i="4"/>
  <c r="Z91" i="4" s="1"/>
  <c r="T83" i="4"/>
  <c r="T91" i="4" s="1"/>
  <c r="AB83" i="4"/>
  <c r="AB91" i="4" s="1"/>
  <c r="AH83" i="4"/>
  <c r="AH91" i="4" s="1"/>
  <c r="AJ83" i="4"/>
  <c r="AJ91" i="4" s="1"/>
  <c r="AN83" i="4"/>
  <c r="AN91" i="4" s="1"/>
  <c r="W83" i="4"/>
  <c r="W91" i="4" s="1"/>
  <c r="Y83" i="4"/>
  <c r="Y91" i="4" s="1"/>
  <c r="AM83" i="4"/>
  <c r="AM91" i="4" s="1"/>
  <c r="AD83" i="4"/>
  <c r="AD91" i="4" s="1"/>
  <c r="V83" i="4"/>
  <c r="V91" i="4" s="1"/>
  <c r="S91" i="4"/>
  <c r="AL83" i="4"/>
  <c r="AL91" i="4" s="1"/>
  <c r="AI83" i="4"/>
  <c r="AI91" i="4" s="1"/>
  <c r="AA83" i="4"/>
  <c r="AA91" i="4" s="1"/>
  <c r="AC83" i="4"/>
  <c r="AC91" i="4" s="1"/>
  <c r="AK83" i="4"/>
  <c r="AK91" i="4" s="1"/>
  <c r="X83" i="4"/>
  <c r="X91" i="4" s="1"/>
  <c r="AG83" i="4"/>
  <c r="AG91" i="4" s="1"/>
  <c r="U83" i="4"/>
  <c r="U91" i="4" s="1"/>
  <c r="AR84" i="1"/>
  <c r="AR89" i="1"/>
  <c r="AQ82" i="4"/>
  <c r="AF91" i="4"/>
  <c r="AP82" i="4"/>
  <c r="AP94" i="1"/>
  <c r="AQ94" i="1"/>
  <c r="AR85" i="1"/>
  <c r="U81" i="1"/>
  <c r="AR90" i="1"/>
  <c r="H81" i="1"/>
  <c r="I81" i="1"/>
  <c r="J81" i="1"/>
  <c r="J82" i="6"/>
  <c r="J89" i="6" s="1"/>
  <c r="I106" i="6" s="1"/>
  <c r="AR79" i="6"/>
  <c r="Q82" i="6"/>
  <c r="Q89" i="6" s="1"/>
  <c r="P106" i="6" s="1"/>
  <c r="N32" i="6"/>
  <c r="N39" i="6" s="1"/>
  <c r="M104" i="6" s="1"/>
  <c r="R82" i="6"/>
  <c r="AD32" i="6"/>
  <c r="M82" i="6"/>
  <c r="M89" i="6" s="1"/>
  <c r="L106" i="6" s="1"/>
  <c r="P32" i="6"/>
  <c r="P39" i="6" s="1"/>
  <c r="O104" i="6" s="1"/>
  <c r="S60" i="6"/>
  <c r="R69" i="6"/>
  <c r="P82" i="6"/>
  <c r="P89" i="6" s="1"/>
  <c r="O106" i="6" s="1"/>
  <c r="O32" i="6"/>
  <c r="O39" i="6" s="1"/>
  <c r="N104" i="6" s="1"/>
  <c r="AQ77" i="6"/>
  <c r="AP77" i="6"/>
  <c r="Q32" i="6"/>
  <c r="R15" i="6"/>
  <c r="R24" i="6" s="1"/>
  <c r="Q24" i="6"/>
  <c r="I32" i="6"/>
  <c r="I39" i="6" s="1"/>
  <c r="H104" i="6" s="1"/>
  <c r="AG27" i="6"/>
  <c r="AF27" i="6"/>
  <c r="R32" i="6"/>
  <c r="L82" i="6"/>
  <c r="L89" i="6" s="1"/>
  <c r="K106" i="6" s="1"/>
  <c r="AQ72" i="6"/>
  <c r="AP72" i="6"/>
  <c r="I82" i="6"/>
  <c r="I89" i="6" s="1"/>
  <c r="H106" i="6" s="1"/>
  <c r="H32" i="6"/>
  <c r="H39" i="6" s="1"/>
  <c r="G104" i="6" s="1"/>
  <c r="AG28" i="6"/>
  <c r="AF28" i="6"/>
  <c r="K32" i="6"/>
  <c r="K39" i="6" s="1"/>
  <c r="J104" i="6" s="1"/>
  <c r="AG29" i="6"/>
  <c r="AF29" i="6"/>
  <c r="G32" i="6"/>
  <c r="N82" i="6"/>
  <c r="N89" i="6" s="1"/>
  <c r="M106" i="6" s="1"/>
  <c r="Q7" i="7"/>
  <c r="AH37" i="6"/>
  <c r="Z82" i="6"/>
  <c r="AP73" i="6"/>
  <c r="H82" i="6"/>
  <c r="AQ73" i="6"/>
  <c r="AR87" i="6"/>
  <c r="AB32" i="6"/>
  <c r="O82" i="6"/>
  <c r="O89" i="6" s="1"/>
  <c r="N106" i="6" s="1"/>
  <c r="K82" i="6"/>
  <c r="K89" i="6" s="1"/>
  <c r="J106" i="6" s="1"/>
  <c r="Q35" i="5"/>
  <c r="Q42" i="5" s="1"/>
  <c r="P110" i="5" s="1"/>
  <c r="W35" i="5"/>
  <c r="W42" i="5" s="1"/>
  <c r="V110" i="5" s="1"/>
  <c r="V35" i="5"/>
  <c r="V42" i="5" s="1"/>
  <c r="U110" i="5" s="1"/>
  <c r="X35" i="5"/>
  <c r="X42" i="5" s="1"/>
  <c r="W110" i="5" s="1"/>
  <c r="K35" i="5"/>
  <c r="K42" i="5" s="1"/>
  <c r="J110" i="5" s="1"/>
  <c r="AA35" i="5"/>
  <c r="AA42" i="5" s="1"/>
  <c r="Z110" i="5" s="1"/>
  <c r="L35" i="5"/>
  <c r="L42" i="5" s="1"/>
  <c r="K110" i="5" s="1"/>
  <c r="O88" i="5"/>
  <c r="O95" i="5" s="1"/>
  <c r="N112" i="5" s="1"/>
  <c r="AB35" i="5"/>
  <c r="AB42" i="5" s="1"/>
  <c r="AA110" i="5" s="1"/>
  <c r="AQ81" i="4"/>
  <c r="AP81" i="4"/>
  <c r="AF31" i="4"/>
  <c r="AG31" i="4"/>
  <c r="L64" i="4"/>
  <c r="K78" i="4"/>
  <c r="N88" i="5"/>
  <c r="N95" i="5" s="1"/>
  <c r="M112" i="5" s="1"/>
  <c r="AR85" i="5"/>
  <c r="K88" i="5"/>
  <c r="K95" i="5" s="1"/>
  <c r="J112" i="5" s="1"/>
  <c r="M35" i="5"/>
  <c r="M42" i="5" s="1"/>
  <c r="L110" i="5" s="1"/>
  <c r="P35" i="5"/>
  <c r="P42" i="5" s="1"/>
  <c r="O110" i="5" s="1"/>
  <c r="Q88" i="5"/>
  <c r="Q95" i="5" s="1"/>
  <c r="P112" i="5" s="1"/>
  <c r="Z35" i="5"/>
  <c r="Z42" i="5" s="1"/>
  <c r="Y110" i="5" s="1"/>
  <c r="AR93" i="5"/>
  <c r="L88" i="5"/>
  <c r="L95" i="5" s="1"/>
  <c r="K112" i="5" s="1"/>
  <c r="R88" i="5"/>
  <c r="R95" i="5" s="1"/>
  <c r="Q112" i="5" s="1"/>
  <c r="AG33" i="5"/>
  <c r="AF33" i="5"/>
  <c r="M88" i="5"/>
  <c r="M95" i="5" s="1"/>
  <c r="L112" i="5" s="1"/>
  <c r="AG27" i="5"/>
  <c r="AQ78" i="5"/>
  <c r="AP78" i="5"/>
  <c r="I88" i="5"/>
  <c r="I95" i="5" s="1"/>
  <c r="H112" i="5" s="1"/>
  <c r="AF27" i="5"/>
  <c r="J88" i="5"/>
  <c r="J95" i="5" s="1"/>
  <c r="I112" i="5" s="1"/>
  <c r="AD35" i="5"/>
  <c r="AD42" i="5" s="1"/>
  <c r="AC110" i="5" s="1"/>
  <c r="AP79" i="5"/>
  <c r="H88" i="5"/>
  <c r="AQ79" i="5"/>
  <c r="H35" i="5"/>
  <c r="H42" i="5" s="1"/>
  <c r="G110" i="5" s="1"/>
  <c r="G111" i="5" s="1"/>
  <c r="AG31" i="5"/>
  <c r="AF31" i="5"/>
  <c r="AA88" i="5"/>
  <c r="AA95" i="5" s="1"/>
  <c r="Z112" i="5" s="1"/>
  <c r="AQ82" i="5"/>
  <c r="AP82" i="5"/>
  <c r="AH63" i="5"/>
  <c r="AG75" i="5"/>
  <c r="I35" i="5"/>
  <c r="I42" i="5" s="1"/>
  <c r="H110" i="5" s="1"/>
  <c r="AG30" i="5"/>
  <c r="AF30" i="5"/>
  <c r="P88" i="5"/>
  <c r="P95" i="5" s="1"/>
  <c r="O112" i="5" s="1"/>
  <c r="E100" i="5"/>
  <c r="M7" i="7" s="1"/>
  <c r="AH40" i="5"/>
  <c r="AQ83" i="5"/>
  <c r="AP83" i="5"/>
  <c r="T64" i="4"/>
  <c r="T78" i="4" s="1"/>
  <c r="I7" i="7"/>
  <c r="AH41" i="4"/>
  <c r="AG28" i="4"/>
  <c r="AF28" i="4"/>
  <c r="AR96" i="4"/>
  <c r="AF37" i="1"/>
  <c r="N81" i="1"/>
  <c r="Q81" i="1"/>
  <c r="P81" i="1"/>
  <c r="AL99" i="1"/>
  <c r="R99" i="1"/>
  <c r="L99" i="1"/>
  <c r="W99" i="1"/>
  <c r="V99" i="1"/>
  <c r="AI99" i="1"/>
  <c r="Q99" i="1"/>
  <c r="AB99" i="1"/>
  <c r="G99" i="1"/>
  <c r="AJ99" i="1"/>
  <c r="AG99" i="1"/>
  <c r="P99" i="1"/>
  <c r="J99" i="1"/>
  <c r="AF99" i="1"/>
  <c r="O99" i="1"/>
  <c r="Z99" i="1"/>
  <c r="X99" i="1"/>
  <c r="H99" i="1"/>
  <c r="T99" i="1"/>
  <c r="S99" i="1"/>
  <c r="AD99" i="1"/>
  <c r="N99" i="1"/>
  <c r="U99" i="1"/>
  <c r="AC99" i="1"/>
  <c r="M99" i="1"/>
  <c r="M101" i="1" s="1"/>
  <c r="L118" i="1" s="1"/>
  <c r="AA99" i="1"/>
  <c r="K99" i="1"/>
  <c r="Y99" i="1"/>
  <c r="I99" i="1"/>
  <c r="AH99" i="1"/>
  <c r="AK99" i="1"/>
  <c r="AN99" i="1"/>
  <c r="AM99" i="1"/>
  <c r="R81" i="1"/>
  <c r="G81" i="1"/>
  <c r="AH34" i="1"/>
  <c r="AH35" i="1"/>
  <c r="S81" i="1"/>
  <c r="T81" i="1"/>
  <c r="V81" i="1"/>
  <c r="W81" i="1"/>
  <c r="X81" i="1"/>
  <c r="AR88" i="1"/>
  <c r="AR87" i="1"/>
  <c r="AD42" i="1"/>
  <c r="AH40" i="1"/>
  <c r="Y65" i="1"/>
  <c r="Z65" i="1" s="1"/>
  <c r="AA65" i="1" s="1"/>
  <c r="AB65" i="1" s="1"/>
  <c r="AC65" i="1" s="1"/>
  <c r="AD65" i="1" s="1"/>
  <c r="K65" i="1"/>
  <c r="K81" i="1" s="1"/>
  <c r="AG37" i="1"/>
  <c r="AH32" i="1"/>
  <c r="AH33" i="1"/>
  <c r="Q42" i="1"/>
  <c r="N42" i="1"/>
  <c r="O42" i="1"/>
  <c r="P42" i="1"/>
  <c r="R42" i="1"/>
  <c r="S42" i="1"/>
  <c r="U42" i="1"/>
  <c r="V42" i="1"/>
  <c r="W42" i="1"/>
  <c r="H42" i="1"/>
  <c r="X42" i="1"/>
  <c r="T42" i="1"/>
  <c r="Y42" i="1"/>
  <c r="I42" i="1"/>
  <c r="J42" i="1"/>
  <c r="Z42" i="1"/>
  <c r="G42" i="1"/>
  <c r="K42" i="1"/>
  <c r="AA42" i="1"/>
  <c r="L42" i="1"/>
  <c r="AB42" i="1"/>
  <c r="M42" i="1"/>
  <c r="AC42" i="1"/>
  <c r="O101" i="1" l="1"/>
  <c r="N118" i="1" s="1"/>
  <c r="R101" i="1"/>
  <c r="Q118" i="1" s="1"/>
  <c r="AH34" i="4"/>
  <c r="AR87" i="4"/>
  <c r="AR84" i="5"/>
  <c r="AH33" i="4"/>
  <c r="AH32" i="5"/>
  <c r="AR76" i="6"/>
  <c r="AR78" i="6"/>
  <c r="AH32" i="4"/>
  <c r="AH30" i="6"/>
  <c r="H114" i="4"/>
  <c r="I114" i="4" s="1"/>
  <c r="J114" i="4" s="1"/>
  <c r="K114" i="4" s="1"/>
  <c r="L114" i="4" s="1"/>
  <c r="M114" i="4" s="1"/>
  <c r="N114" i="4" s="1"/>
  <c r="O114" i="4" s="1"/>
  <c r="P114" i="4" s="1"/>
  <c r="Q114" i="4" s="1"/>
  <c r="R114" i="4" s="1"/>
  <c r="S114" i="4" s="1"/>
  <c r="T114" i="4" s="1"/>
  <c r="U114" i="4" s="1"/>
  <c r="V114" i="4" s="1"/>
  <c r="W114" i="4" s="1"/>
  <c r="X114" i="4" s="1"/>
  <c r="Y114" i="4" s="1"/>
  <c r="Z114" i="4" s="1"/>
  <c r="AA114" i="4" s="1"/>
  <c r="AB114" i="4" s="1"/>
  <c r="AC114" i="4" s="1"/>
  <c r="AD114" i="4" s="1"/>
  <c r="AG114" i="4" s="1"/>
  <c r="AH114" i="4" s="1"/>
  <c r="AI114" i="4" s="1"/>
  <c r="AJ114" i="4" s="1"/>
  <c r="AK114" i="4" s="1"/>
  <c r="AL114" i="4" s="1"/>
  <c r="AM114" i="4" s="1"/>
  <c r="H116" i="4"/>
  <c r="I116" i="4" s="1"/>
  <c r="AR85" i="4"/>
  <c r="AF36" i="4"/>
  <c r="AF44" i="4" s="1"/>
  <c r="AR82" i="4"/>
  <c r="AG36" i="4"/>
  <c r="AH28" i="6"/>
  <c r="AQ80" i="5"/>
  <c r="H111" i="5"/>
  <c r="I111" i="5" s="1"/>
  <c r="J111" i="5" s="1"/>
  <c r="K111" i="5" s="1"/>
  <c r="L111" i="5" s="1"/>
  <c r="M111" i="5" s="1"/>
  <c r="N111" i="5" s="1"/>
  <c r="O111" i="5" s="1"/>
  <c r="P111" i="5" s="1"/>
  <c r="Q111" i="5" s="1"/>
  <c r="R111" i="5" s="1"/>
  <c r="S111" i="5" s="1"/>
  <c r="T111" i="5" s="1"/>
  <c r="U111" i="5" s="1"/>
  <c r="V111" i="5" s="1"/>
  <c r="W111" i="5" s="1"/>
  <c r="X111" i="5" s="1"/>
  <c r="Y111" i="5" s="1"/>
  <c r="Z111" i="5" s="1"/>
  <c r="AA111" i="5" s="1"/>
  <c r="AB111" i="5" s="1"/>
  <c r="AC111" i="5" s="1"/>
  <c r="AD111" i="5" s="1"/>
  <c r="AG111" i="5" s="1"/>
  <c r="AH111" i="5" s="1"/>
  <c r="AI111" i="5" s="1"/>
  <c r="AJ111" i="5" s="1"/>
  <c r="AK111" i="5" s="1"/>
  <c r="AL111" i="5" s="1"/>
  <c r="AM111" i="5" s="1"/>
  <c r="AP80" i="5"/>
  <c r="AR81" i="4"/>
  <c r="AR86" i="4"/>
  <c r="AP74" i="6"/>
  <c r="AQ74" i="6"/>
  <c r="AP91" i="4"/>
  <c r="AQ91" i="4"/>
  <c r="S98" i="4"/>
  <c r="R115" i="4" s="1"/>
  <c r="AH31" i="4"/>
  <c r="AP83" i="4"/>
  <c r="AQ83" i="4"/>
  <c r="J101" i="1"/>
  <c r="I118" i="1" s="1"/>
  <c r="I101" i="1"/>
  <c r="H118" i="1" s="1"/>
  <c r="H101" i="1"/>
  <c r="G118" i="1" s="1"/>
  <c r="AR77" i="6"/>
  <c r="R89" i="6"/>
  <c r="Q106" i="6" s="1"/>
  <c r="AH27" i="6"/>
  <c r="AH29" i="6"/>
  <c r="AQ82" i="6"/>
  <c r="H89" i="6"/>
  <c r="G106" i="6" s="1"/>
  <c r="G107" i="6" s="1"/>
  <c r="H107" i="6" s="1"/>
  <c r="I107" i="6" s="1"/>
  <c r="J107" i="6" s="1"/>
  <c r="K107" i="6" s="1"/>
  <c r="L107" i="6" s="1"/>
  <c r="M107" i="6" s="1"/>
  <c r="N107" i="6" s="1"/>
  <c r="O107" i="6" s="1"/>
  <c r="P107" i="6" s="1"/>
  <c r="AR73" i="6"/>
  <c r="AR72" i="6"/>
  <c r="Q39" i="6"/>
  <c r="P104" i="6" s="1"/>
  <c r="S15" i="6"/>
  <c r="R39" i="6"/>
  <c r="Q104" i="6" s="1"/>
  <c r="AG32" i="6"/>
  <c r="AF32" i="6"/>
  <c r="G39" i="6"/>
  <c r="F104" i="6" s="1"/>
  <c r="F105" i="6" s="1"/>
  <c r="G105" i="6" s="1"/>
  <c r="H105" i="6" s="1"/>
  <c r="I105" i="6" s="1"/>
  <c r="J105" i="6" s="1"/>
  <c r="K105" i="6" s="1"/>
  <c r="L105" i="6" s="1"/>
  <c r="M105" i="6" s="1"/>
  <c r="N105" i="6" s="1"/>
  <c r="O105" i="6" s="1"/>
  <c r="T60" i="6"/>
  <c r="S69" i="6"/>
  <c r="AH30" i="5"/>
  <c r="K98" i="4"/>
  <c r="J115" i="4" s="1"/>
  <c r="J116" i="4" s="1"/>
  <c r="L78" i="4"/>
  <c r="L98" i="4" s="1"/>
  <c r="K115" i="4" s="1"/>
  <c r="AR78" i="5"/>
  <c r="AR83" i="5"/>
  <c r="AG42" i="5"/>
  <c r="AG95" i="5"/>
  <c r="AF112" i="5" s="1"/>
  <c r="AH33" i="5"/>
  <c r="AQ88" i="5"/>
  <c r="AP88" i="5"/>
  <c r="H95" i="5"/>
  <c r="G112" i="5" s="1"/>
  <c r="G113" i="5" s="1"/>
  <c r="H113" i="5" s="1"/>
  <c r="I113" i="5" s="1"/>
  <c r="J113" i="5" s="1"/>
  <c r="K113" i="5" s="1"/>
  <c r="L113" i="5" s="1"/>
  <c r="M113" i="5" s="1"/>
  <c r="N113" i="5" s="1"/>
  <c r="O113" i="5" s="1"/>
  <c r="P113" i="5" s="1"/>
  <c r="Q113" i="5" s="1"/>
  <c r="R113" i="5" s="1"/>
  <c r="S113" i="5" s="1"/>
  <c r="T113" i="5" s="1"/>
  <c r="U113" i="5" s="1"/>
  <c r="V113" i="5" s="1"/>
  <c r="W113" i="5" s="1"/>
  <c r="X113" i="5" s="1"/>
  <c r="Y113" i="5" s="1"/>
  <c r="Z113" i="5" s="1"/>
  <c r="AA113" i="5" s="1"/>
  <c r="AB113" i="5" s="1"/>
  <c r="AC113" i="5" s="1"/>
  <c r="AD113" i="5" s="1"/>
  <c r="AR79" i="5"/>
  <c r="AR82" i="5"/>
  <c r="AF35" i="5"/>
  <c r="AF43" i="5" s="1"/>
  <c r="AI63" i="5"/>
  <c r="AH75" i="5"/>
  <c r="AH95" i="5" s="1"/>
  <c r="AG112" i="5" s="1"/>
  <c r="AG35" i="5"/>
  <c r="AH31" i="5"/>
  <c r="AF42" i="5"/>
  <c r="E99" i="5" s="1"/>
  <c r="AH27" i="5"/>
  <c r="AH28" i="4"/>
  <c r="AG43" i="4"/>
  <c r="AF43" i="4"/>
  <c r="E102" i="4" s="1"/>
  <c r="U64" i="4"/>
  <c r="AF42" i="1"/>
  <c r="E106" i="1" s="1"/>
  <c r="E7" i="7" s="1"/>
  <c r="AQ99" i="1"/>
  <c r="Q101" i="1"/>
  <c r="P118" i="1" s="1"/>
  <c r="P101" i="1"/>
  <c r="O118" i="1" s="1"/>
  <c r="G101" i="1"/>
  <c r="F118" i="1" s="1"/>
  <c r="F119" i="1" s="1"/>
  <c r="T101" i="1"/>
  <c r="S118" i="1" s="1"/>
  <c r="X101" i="1"/>
  <c r="W118" i="1" s="1"/>
  <c r="AD81" i="1"/>
  <c r="AD101" i="1" s="1"/>
  <c r="AC118" i="1" s="1"/>
  <c r="AF65" i="1"/>
  <c r="W101" i="1"/>
  <c r="V118" i="1" s="1"/>
  <c r="V101" i="1"/>
  <c r="U118" i="1" s="1"/>
  <c r="Y81" i="1"/>
  <c r="Y101" i="1" s="1"/>
  <c r="X118" i="1" s="1"/>
  <c r="AC81" i="1"/>
  <c r="AC101" i="1" s="1"/>
  <c r="AB118" i="1" s="1"/>
  <c r="AA81" i="1"/>
  <c r="AA101" i="1" s="1"/>
  <c r="Z118" i="1" s="1"/>
  <c r="AR94" i="1"/>
  <c r="AB81" i="1"/>
  <c r="AB101" i="1" s="1"/>
  <c r="AA118" i="1" s="1"/>
  <c r="Z81" i="1"/>
  <c r="Z101" i="1" s="1"/>
  <c r="Y118" i="1" s="1"/>
  <c r="N101" i="1"/>
  <c r="M118" i="1" s="1"/>
  <c r="AG42" i="1"/>
  <c r="AP99" i="1"/>
  <c r="S101" i="1"/>
  <c r="R118" i="1" s="1"/>
  <c r="U101" i="1"/>
  <c r="T118" i="1" s="1"/>
  <c r="L65" i="1"/>
  <c r="K101" i="1"/>
  <c r="J118" i="1" s="1"/>
  <c r="AH37" i="1"/>
  <c r="AR80" i="5" l="1"/>
  <c r="AH36" i="4"/>
  <c r="E101" i="5"/>
  <c r="E102" i="5"/>
  <c r="E105" i="5"/>
  <c r="E106" i="5"/>
  <c r="E105" i="4"/>
  <c r="E104" i="4"/>
  <c r="E109" i="4"/>
  <c r="E108" i="4"/>
  <c r="AF113" i="5"/>
  <c r="AG113" i="5" s="1"/>
  <c r="P105" i="6"/>
  <c r="Q105" i="6" s="1"/>
  <c r="G119" i="1"/>
  <c r="H119" i="1" s="1"/>
  <c r="I119" i="1" s="1"/>
  <c r="J119" i="1" s="1"/>
  <c r="Q107" i="6"/>
  <c r="AR91" i="4"/>
  <c r="AR74" i="6"/>
  <c r="AR83" i="4"/>
  <c r="K116" i="4"/>
  <c r="L116" i="4" s="1"/>
  <c r="M116" i="4" s="1"/>
  <c r="N116" i="4" s="1"/>
  <c r="O116" i="4" s="1"/>
  <c r="P116" i="4" s="1"/>
  <c r="Q116" i="4" s="1"/>
  <c r="R116" i="4" s="1"/>
  <c r="AH32" i="6"/>
  <c r="T15" i="6"/>
  <c r="S24" i="6"/>
  <c r="S39" i="6" s="1"/>
  <c r="R104" i="6" s="1"/>
  <c r="U60" i="6"/>
  <c r="T69" i="6"/>
  <c r="T89" i="6" s="1"/>
  <c r="S106" i="6" s="1"/>
  <c r="S89" i="6"/>
  <c r="R106" i="6" s="1"/>
  <c r="AR82" i="6"/>
  <c r="U78" i="4"/>
  <c r="U98" i="4" s="1"/>
  <c r="T115" i="4" s="1"/>
  <c r="AG43" i="5"/>
  <c r="AH35" i="5"/>
  <c r="AJ63" i="5"/>
  <c r="AI75" i="5"/>
  <c r="AI95" i="5" s="1"/>
  <c r="AH112" i="5" s="1"/>
  <c r="AH42" i="5"/>
  <c r="M6" i="7"/>
  <c r="AR88" i="5"/>
  <c r="T98" i="4"/>
  <c r="S115" i="4" s="1"/>
  <c r="AG44" i="4"/>
  <c r="V64" i="4"/>
  <c r="AH43" i="4"/>
  <c r="AG65" i="1"/>
  <c r="AF81" i="1"/>
  <c r="AF101" i="1" s="1"/>
  <c r="AD118" i="1" s="1"/>
  <c r="AR99" i="1"/>
  <c r="L81" i="1"/>
  <c r="AH42" i="1"/>
  <c r="AH113" i="5" l="1"/>
  <c r="R107" i="6"/>
  <c r="S107" i="6" s="1"/>
  <c r="S116" i="4"/>
  <c r="T116" i="4" s="1"/>
  <c r="R105" i="6"/>
  <c r="I6" i="7"/>
  <c r="V60" i="6"/>
  <c r="U69" i="6"/>
  <c r="U89" i="6" s="1"/>
  <c r="T106" i="6" s="1"/>
  <c r="U15" i="6"/>
  <c r="T24" i="6"/>
  <c r="V78" i="4"/>
  <c r="V98" i="4" s="1"/>
  <c r="U115" i="4" s="1"/>
  <c r="AK63" i="5"/>
  <c r="AJ75" i="5"/>
  <c r="AJ95" i="5" s="1"/>
  <c r="AI112" i="5" s="1"/>
  <c r="W64" i="4"/>
  <c r="W78" i="4" s="1"/>
  <c r="L101" i="1"/>
  <c r="K118" i="1" s="1"/>
  <c r="K119" i="1" s="1"/>
  <c r="L119" i="1" s="1"/>
  <c r="M119" i="1" s="1"/>
  <c r="N119" i="1" s="1"/>
  <c r="O119" i="1" s="1"/>
  <c r="P119" i="1" s="1"/>
  <c r="Q119" i="1" s="1"/>
  <c r="R119" i="1" s="1"/>
  <c r="S119" i="1" s="1"/>
  <c r="T119" i="1" s="1"/>
  <c r="U119" i="1" s="1"/>
  <c r="V119" i="1" s="1"/>
  <c r="W119" i="1" s="1"/>
  <c r="X119" i="1" s="1"/>
  <c r="Y119" i="1" s="1"/>
  <c r="Z119" i="1" s="1"/>
  <c r="AA119" i="1" s="1"/>
  <c r="AB119" i="1" s="1"/>
  <c r="AC119" i="1" s="1"/>
  <c r="AD119" i="1" s="1"/>
  <c r="AH65" i="1"/>
  <c r="AG81" i="1"/>
  <c r="AG101" i="1" s="1"/>
  <c r="AF118" i="1" s="1"/>
  <c r="AI113" i="5" l="1"/>
  <c r="AF119" i="1"/>
  <c r="T107" i="6"/>
  <c r="U116" i="4"/>
  <c r="T39" i="6"/>
  <c r="S104" i="6" s="1"/>
  <c r="S105" i="6" s="1"/>
  <c r="U24" i="6"/>
  <c r="U39" i="6" s="1"/>
  <c r="T104" i="6" s="1"/>
  <c r="V15" i="6"/>
  <c r="W60" i="6"/>
  <c r="V69" i="6"/>
  <c r="V89" i="6" s="1"/>
  <c r="U106" i="6" s="1"/>
  <c r="AL63" i="5"/>
  <c r="AK75" i="5"/>
  <c r="AK95" i="5" s="1"/>
  <c r="AJ112" i="5" s="1"/>
  <c r="X64" i="4"/>
  <c r="X78" i="4" s="1"/>
  <c r="W98" i="4"/>
  <c r="V115" i="4" s="1"/>
  <c r="AI65" i="1"/>
  <c r="AH81" i="1"/>
  <c r="AH101" i="1" s="1"/>
  <c r="AG118" i="1" s="1"/>
  <c r="AD14" i="1"/>
  <c r="AC14" i="1"/>
  <c r="AB14" i="1"/>
  <c r="AA14" i="1"/>
  <c r="Z14" i="1"/>
  <c r="Y14" i="1"/>
  <c r="X14" i="1"/>
  <c r="W14" i="1"/>
  <c r="V14" i="1"/>
  <c r="U14" i="1"/>
  <c r="T14" i="1"/>
  <c r="S14" i="1"/>
  <c r="R14" i="1"/>
  <c r="Q14" i="1"/>
  <c r="P14" i="1"/>
  <c r="O14" i="1"/>
  <c r="N14" i="1"/>
  <c r="M14" i="1"/>
  <c r="M29" i="1" s="1"/>
  <c r="M44" i="1" s="1"/>
  <c r="L116" i="1" s="1"/>
  <c r="L14" i="1"/>
  <c r="K14" i="1"/>
  <c r="J14" i="1"/>
  <c r="I14" i="1"/>
  <c r="H14" i="1"/>
  <c r="G14" i="1"/>
  <c r="V116" i="4" l="1"/>
  <c r="U107" i="6"/>
  <c r="AJ113" i="5"/>
  <c r="AG119" i="1"/>
  <c r="T105" i="6"/>
  <c r="V24" i="6"/>
  <c r="V39" i="6" s="1"/>
  <c r="U104" i="6" s="1"/>
  <c r="W15" i="6"/>
  <c r="W69" i="6"/>
  <c r="W89" i="6" s="1"/>
  <c r="V106" i="6" s="1"/>
  <c r="X60" i="6"/>
  <c r="AM63" i="5"/>
  <c r="AL75" i="5"/>
  <c r="AL95" i="5" s="1"/>
  <c r="AK112" i="5" s="1"/>
  <c r="AK113" i="5" s="1"/>
  <c r="Y64" i="4"/>
  <c r="Y78" i="4" s="1"/>
  <c r="X98" i="4"/>
  <c r="W115" i="4" s="1"/>
  <c r="AJ65" i="1"/>
  <c r="AI81" i="1"/>
  <c r="AI101" i="1" s="1"/>
  <c r="AH118" i="1" s="1"/>
  <c r="G29" i="1"/>
  <c r="G44" i="1" s="1"/>
  <c r="F116" i="1" s="1"/>
  <c r="F117" i="1" s="1"/>
  <c r="U105" i="6" l="1"/>
  <c r="W116" i="4"/>
  <c r="V107" i="6"/>
  <c r="AH119" i="1"/>
  <c r="Y60" i="6"/>
  <c r="X69" i="6"/>
  <c r="X89" i="6" s="1"/>
  <c r="W106" i="6" s="1"/>
  <c r="X15" i="6"/>
  <c r="W24" i="6"/>
  <c r="W39" i="6" s="1"/>
  <c r="V104" i="6" s="1"/>
  <c r="AN63" i="5"/>
  <c r="AP70" i="5" s="1"/>
  <c r="AR70" i="5" s="1"/>
  <c r="AM75" i="5"/>
  <c r="AM95" i="5" s="1"/>
  <c r="AL112" i="5" s="1"/>
  <c r="AL113" i="5" s="1"/>
  <c r="Z64" i="4"/>
  <c r="Z78" i="4" s="1"/>
  <c r="Y98" i="4"/>
  <c r="X115" i="4" s="1"/>
  <c r="AK65" i="1"/>
  <c r="AJ81" i="1"/>
  <c r="AJ101" i="1" s="1"/>
  <c r="AI118" i="1" s="1"/>
  <c r="H15" i="1"/>
  <c r="V105" i="6" l="1"/>
  <c r="X116" i="4"/>
  <c r="W107" i="6"/>
  <c r="AP67" i="5"/>
  <c r="AR67" i="5" s="1"/>
  <c r="AI119" i="1"/>
  <c r="Y15" i="6"/>
  <c r="X24" i="6"/>
  <c r="X39" i="6" s="1"/>
  <c r="W104" i="6" s="1"/>
  <c r="Z60" i="6"/>
  <c r="Y69" i="6"/>
  <c r="Y89" i="6" s="1"/>
  <c r="X106" i="6" s="1"/>
  <c r="AN75" i="5"/>
  <c r="AP66" i="5"/>
  <c r="AR66" i="5" s="1"/>
  <c r="AP73" i="5"/>
  <c r="AR73" i="5" s="1"/>
  <c r="AP72" i="5"/>
  <c r="AR72" i="5" s="1"/>
  <c r="AP71" i="5"/>
  <c r="AR71" i="5" s="1"/>
  <c r="AP65" i="5"/>
  <c r="AR65" i="5" s="1"/>
  <c r="AP69" i="5"/>
  <c r="AR69" i="5" s="1"/>
  <c r="AP68" i="5"/>
  <c r="AR68" i="5" s="1"/>
  <c r="AA64" i="4"/>
  <c r="AA78" i="4" s="1"/>
  <c r="Z98" i="4"/>
  <c r="Y115" i="4" s="1"/>
  <c r="AL65" i="1"/>
  <c r="AK81" i="1"/>
  <c r="AK101" i="1" s="1"/>
  <c r="AJ118" i="1" s="1"/>
  <c r="AJ119" i="1" s="1"/>
  <c r="H29" i="1"/>
  <c r="H44" i="1" s="1"/>
  <c r="G116" i="1" s="1"/>
  <c r="G117" i="1" s="1"/>
  <c r="I15" i="1"/>
  <c r="W105" i="6" l="1"/>
  <c r="Y116" i="4"/>
  <c r="X107" i="6"/>
  <c r="AA60" i="6"/>
  <c r="Z69" i="6"/>
  <c r="Z89" i="6" s="1"/>
  <c r="Y106" i="6" s="1"/>
  <c r="Z15" i="6"/>
  <c r="Y24" i="6"/>
  <c r="Y39" i="6" s="1"/>
  <c r="X104" i="6" s="1"/>
  <c r="AN95" i="5"/>
  <c r="AM112" i="5" s="1"/>
  <c r="AM113" i="5" s="1"/>
  <c r="AP75" i="5"/>
  <c r="AQ75" i="5"/>
  <c r="AB64" i="4"/>
  <c r="AB78" i="4" s="1"/>
  <c r="AA98" i="4"/>
  <c r="Z115" i="4" s="1"/>
  <c r="AM65" i="1"/>
  <c r="AL81" i="1"/>
  <c r="AL101" i="1" s="1"/>
  <c r="AK118" i="1" s="1"/>
  <c r="AK119" i="1" s="1"/>
  <c r="J15" i="1"/>
  <c r="I29" i="1"/>
  <c r="I44" i="1" s="1"/>
  <c r="H116" i="1" s="1"/>
  <c r="H117" i="1" s="1"/>
  <c r="X105" i="6" l="1"/>
  <c r="Z116" i="4"/>
  <c r="Y107" i="6"/>
  <c r="AA15" i="6"/>
  <c r="Z24" i="6"/>
  <c r="Z39" i="6" s="1"/>
  <c r="Y104" i="6" s="1"/>
  <c r="AB60" i="6"/>
  <c r="AA69" i="6"/>
  <c r="AA89" i="6" s="1"/>
  <c r="Z106" i="6" s="1"/>
  <c r="AR75" i="5"/>
  <c r="AP96" i="5"/>
  <c r="AP95" i="5"/>
  <c r="F99" i="5" s="1"/>
  <c r="AQ95" i="5"/>
  <c r="AC64" i="4"/>
  <c r="AC78" i="4" s="1"/>
  <c r="AB98" i="4"/>
  <c r="AA115" i="4" s="1"/>
  <c r="AN65" i="1"/>
  <c r="AM81" i="1"/>
  <c r="AM101" i="1" s="1"/>
  <c r="AL118" i="1" s="1"/>
  <c r="AL119" i="1" s="1"/>
  <c r="K15" i="1"/>
  <c r="J29" i="1"/>
  <c r="J44" i="1" s="1"/>
  <c r="I116" i="1" s="1"/>
  <c r="I117" i="1" s="1"/>
  <c r="Y105" i="6" l="1"/>
  <c r="AA116" i="4"/>
  <c r="Z107" i="6"/>
  <c r="F101" i="5"/>
  <c r="E103" i="5" s="1"/>
  <c r="F102" i="5"/>
  <c r="E104" i="5" s="1"/>
  <c r="F105" i="5"/>
  <c r="F106" i="5"/>
  <c r="AC60" i="6"/>
  <c r="AB69" i="6"/>
  <c r="AB89" i="6" s="1"/>
  <c r="AA106" i="6" s="1"/>
  <c r="AB15" i="6"/>
  <c r="AA24" i="6"/>
  <c r="AA39" i="6" s="1"/>
  <c r="Z104" i="6" s="1"/>
  <c r="AQ96" i="5"/>
  <c r="AR95" i="5"/>
  <c r="AD64" i="4"/>
  <c r="AD78" i="4" s="1"/>
  <c r="AC98" i="4"/>
  <c r="AB115" i="4" s="1"/>
  <c r="AP70" i="1"/>
  <c r="AP69" i="1"/>
  <c r="AR69" i="1" s="1"/>
  <c r="AP74" i="1"/>
  <c r="AP79" i="1"/>
  <c r="AR79" i="1" s="1"/>
  <c r="AP77" i="1"/>
  <c r="AP78" i="1"/>
  <c r="AR78" i="1" s="1"/>
  <c r="AP73" i="1"/>
  <c r="AP76" i="1"/>
  <c r="AP72" i="1"/>
  <c r="AP67" i="1"/>
  <c r="AR67" i="1" s="1"/>
  <c r="AP68" i="1"/>
  <c r="AR68" i="1" s="1"/>
  <c r="AP71" i="1"/>
  <c r="AP75" i="1"/>
  <c r="AN81" i="1"/>
  <c r="AQ81" i="1" s="1"/>
  <c r="L15" i="1"/>
  <c r="K29" i="1"/>
  <c r="K44" i="1" s="1"/>
  <c r="J116" i="1" s="1"/>
  <c r="J117" i="1" s="1"/>
  <c r="Z105" i="6" l="1"/>
  <c r="AB116" i="4"/>
  <c r="AA107" i="6"/>
  <c r="O6" i="7"/>
  <c r="M12" i="7"/>
  <c r="M9" i="7"/>
  <c r="M13" i="7"/>
  <c r="M8" i="7"/>
  <c r="AC15" i="6"/>
  <c r="AB24" i="6"/>
  <c r="AB39" i="6" s="1"/>
  <c r="AA104" i="6" s="1"/>
  <c r="AD60" i="6"/>
  <c r="AC69" i="6"/>
  <c r="AC89" i="6" s="1"/>
  <c r="AB106" i="6" s="1"/>
  <c r="O13" i="7"/>
  <c r="O12" i="7"/>
  <c r="AF64" i="4"/>
  <c r="AF78" i="4" s="1"/>
  <c r="AD98" i="4"/>
  <c r="AC115" i="4" s="1"/>
  <c r="AP81" i="1"/>
  <c r="AR81" i="1" s="1"/>
  <c r="AN101" i="1"/>
  <c r="AM118" i="1" s="1"/>
  <c r="AM119" i="1" s="1"/>
  <c r="N15" i="1"/>
  <c r="L29" i="1"/>
  <c r="L44" i="1" s="1"/>
  <c r="K116" i="1" s="1"/>
  <c r="K117" i="1" s="1"/>
  <c r="L117" i="1" s="1"/>
  <c r="AA105" i="6" l="1"/>
  <c r="AC116" i="4"/>
  <c r="AB107" i="6"/>
  <c r="M10" i="7"/>
  <c r="O8" i="7"/>
  <c r="M11" i="7"/>
  <c r="O9" i="7"/>
  <c r="AF60" i="6"/>
  <c r="AD69" i="6"/>
  <c r="AD89" i="6" s="1"/>
  <c r="AC106" i="6" s="1"/>
  <c r="AD15" i="6"/>
  <c r="AC24" i="6"/>
  <c r="AC39" i="6" s="1"/>
  <c r="AB104" i="6" s="1"/>
  <c r="AG64" i="4"/>
  <c r="AG78" i="4" s="1"/>
  <c r="AF98" i="4"/>
  <c r="AD115" i="4" s="1"/>
  <c r="AP101" i="1"/>
  <c r="F105" i="1" s="1"/>
  <c r="AQ101" i="1"/>
  <c r="AP102" i="1"/>
  <c r="O15" i="1"/>
  <c r="N29" i="1"/>
  <c r="N44" i="1" s="1"/>
  <c r="M116" i="1" s="1"/>
  <c r="M117" i="1" s="1"/>
  <c r="AC107" i="6" l="1"/>
  <c r="AB105" i="6"/>
  <c r="AD116" i="4"/>
  <c r="F111" i="1"/>
  <c r="G12" i="7" s="1"/>
  <c r="F108" i="1"/>
  <c r="G9" i="7" s="1"/>
  <c r="F107" i="1"/>
  <c r="G8" i="7" s="1"/>
  <c r="F112" i="1"/>
  <c r="G13" i="7" s="1"/>
  <c r="G6" i="7"/>
  <c r="AD24" i="6"/>
  <c r="AF19" i="6"/>
  <c r="AH19" i="6" s="1"/>
  <c r="AF22" i="6"/>
  <c r="AH22" i="6" s="1"/>
  <c r="AG60" i="6"/>
  <c r="AF69" i="6"/>
  <c r="AF89" i="6" s="1"/>
  <c r="AD106" i="6" s="1"/>
  <c r="AH64" i="4"/>
  <c r="AH78" i="4" s="1"/>
  <c r="AG98" i="4"/>
  <c r="AF115" i="4" s="1"/>
  <c r="AQ102" i="1"/>
  <c r="AR101" i="1"/>
  <c r="P15" i="1"/>
  <c r="O29" i="1"/>
  <c r="O44" i="1" s="1"/>
  <c r="N116" i="1" s="1"/>
  <c r="N117" i="1" s="1"/>
  <c r="AD107" i="6" l="1"/>
  <c r="AF116" i="4"/>
  <c r="AH60" i="6"/>
  <c r="AG69" i="6"/>
  <c r="AG89" i="6" s="1"/>
  <c r="AF106" i="6" s="1"/>
  <c r="AD39" i="6"/>
  <c r="AC104" i="6" s="1"/>
  <c r="AC105" i="6" s="1"/>
  <c r="AD105" i="6" s="1"/>
  <c r="AG105" i="6" s="1"/>
  <c r="AH105" i="6" s="1"/>
  <c r="AI105" i="6" s="1"/>
  <c r="AJ105" i="6" s="1"/>
  <c r="AK105" i="6" s="1"/>
  <c r="AL105" i="6" s="1"/>
  <c r="AM105" i="6" s="1"/>
  <c r="AF24" i="6"/>
  <c r="AG24" i="6"/>
  <c r="AI64" i="4"/>
  <c r="AI78" i="4" s="1"/>
  <c r="AH98" i="4"/>
  <c r="AG115" i="4" s="1"/>
  <c r="Q15" i="1"/>
  <c r="P29" i="1"/>
  <c r="P44" i="1" s="1"/>
  <c r="O116" i="1" s="1"/>
  <c r="O117" i="1" s="1"/>
  <c r="AF107" i="6" l="1"/>
  <c r="AG116" i="4"/>
  <c r="AF40" i="6"/>
  <c r="AH24" i="6"/>
  <c r="AG39" i="6"/>
  <c r="AF39" i="6"/>
  <c r="E93" i="6" s="1"/>
  <c r="AI60" i="6"/>
  <c r="AH69" i="6"/>
  <c r="AH89" i="6" s="1"/>
  <c r="AG106" i="6" s="1"/>
  <c r="AJ64" i="4"/>
  <c r="AJ78" i="4" s="1"/>
  <c r="AI98" i="4"/>
  <c r="AH115" i="4" s="1"/>
  <c r="R15" i="1"/>
  <c r="R29" i="1" s="1"/>
  <c r="Q29" i="1"/>
  <c r="Q44" i="1" s="1"/>
  <c r="P116" i="1" s="1"/>
  <c r="P117" i="1" s="1"/>
  <c r="AH116" i="4" l="1"/>
  <c r="AG107" i="6"/>
  <c r="E96" i="6"/>
  <c r="E95" i="6"/>
  <c r="E100" i="6"/>
  <c r="E99" i="6"/>
  <c r="AJ60" i="6"/>
  <c r="AI69" i="6"/>
  <c r="AI89" i="6" s="1"/>
  <c r="AH106" i="6" s="1"/>
  <c r="AH39" i="6"/>
  <c r="Q6" i="7"/>
  <c r="AG40" i="6"/>
  <c r="AK64" i="4"/>
  <c r="AK78" i="4" s="1"/>
  <c r="AJ98" i="4"/>
  <c r="AI115" i="4" s="1"/>
  <c r="R44" i="1"/>
  <c r="Q116" i="1" s="1"/>
  <c r="Q117" i="1" s="1"/>
  <c r="S15" i="1"/>
  <c r="AI116" i="4" l="1"/>
  <c r="AH107" i="6"/>
  <c r="AK60" i="6"/>
  <c r="AJ69" i="6"/>
  <c r="AJ89" i="6" s="1"/>
  <c r="AI106" i="6" s="1"/>
  <c r="AL64" i="4"/>
  <c r="AL78" i="4" s="1"/>
  <c r="AK98" i="4"/>
  <c r="AJ115" i="4" s="1"/>
  <c r="T15" i="1"/>
  <c r="S29" i="1"/>
  <c r="AJ116" i="4" l="1"/>
  <c r="AI107" i="6"/>
  <c r="AL60" i="6"/>
  <c r="AK69" i="6"/>
  <c r="AK89" i="6" s="1"/>
  <c r="AJ106" i="6" s="1"/>
  <c r="AM64" i="4"/>
  <c r="AM78" i="4" s="1"/>
  <c r="AL98" i="4"/>
  <c r="AK115" i="4" s="1"/>
  <c r="S44" i="1"/>
  <c r="R116" i="1" s="1"/>
  <c r="R117" i="1" s="1"/>
  <c r="U15" i="1"/>
  <c r="T29" i="1"/>
  <c r="T44" i="1" s="1"/>
  <c r="S116" i="1" s="1"/>
  <c r="AK116" i="4" l="1"/>
  <c r="AJ107" i="6"/>
  <c r="S117" i="1"/>
  <c r="AM60" i="6"/>
  <c r="AL69" i="6"/>
  <c r="AL89" i="6" s="1"/>
  <c r="AK106" i="6" s="1"/>
  <c r="AN64" i="4"/>
  <c r="AM98" i="4"/>
  <c r="AL115" i="4" s="1"/>
  <c r="V15" i="1"/>
  <c r="U29" i="1"/>
  <c r="U44" i="1" s="1"/>
  <c r="T116" i="1" s="1"/>
  <c r="AL116" i="4" l="1"/>
  <c r="AK107" i="6"/>
  <c r="T117" i="1"/>
  <c r="AN60" i="6"/>
  <c r="AM69" i="6"/>
  <c r="AM89" i="6" s="1"/>
  <c r="AL106" i="6" s="1"/>
  <c r="AN78" i="4"/>
  <c r="AP78" i="4" s="1"/>
  <c r="AP69" i="4"/>
  <c r="AR69" i="4" s="1"/>
  <c r="AP71" i="4"/>
  <c r="AR71" i="4" s="1"/>
  <c r="AP72" i="4"/>
  <c r="AR72" i="4" s="1"/>
  <c r="AP70" i="4"/>
  <c r="AR70" i="4" s="1"/>
  <c r="AP76" i="4"/>
  <c r="AR76" i="4" s="1"/>
  <c r="AP75" i="4"/>
  <c r="AR75" i="4" s="1"/>
  <c r="AP68" i="4"/>
  <c r="AR68" i="4" s="1"/>
  <c r="AP67" i="4"/>
  <c r="AR67" i="4" s="1"/>
  <c r="AP73" i="4"/>
  <c r="AR73" i="4" s="1"/>
  <c r="AP66" i="4"/>
  <c r="AR66" i="4" s="1"/>
  <c r="AP74" i="4"/>
  <c r="AR74" i="4" s="1"/>
  <c r="W15" i="1"/>
  <c r="V29" i="1"/>
  <c r="V44" i="1" s="1"/>
  <c r="U116" i="1" s="1"/>
  <c r="AL107" i="6" l="1"/>
  <c r="U117" i="1"/>
  <c r="AN69" i="6"/>
  <c r="AP63" i="6"/>
  <c r="AR63" i="6" s="1"/>
  <c r="AP66" i="6"/>
  <c r="AR66" i="6" s="1"/>
  <c r="AP67" i="6"/>
  <c r="AR67" i="6" s="1"/>
  <c r="AP65" i="6"/>
  <c r="AR65" i="6" s="1"/>
  <c r="AP64" i="6"/>
  <c r="AR64" i="6" s="1"/>
  <c r="AP62" i="6"/>
  <c r="AR62" i="6" s="1"/>
  <c r="AN98" i="4"/>
  <c r="AM115" i="4" s="1"/>
  <c r="AM116" i="4" s="1"/>
  <c r="AQ78" i="4"/>
  <c r="X15" i="1"/>
  <c r="W29" i="1"/>
  <c r="W44" i="1" s="1"/>
  <c r="V116" i="1" s="1"/>
  <c r="V117" i="1" l="1"/>
  <c r="AN89" i="6"/>
  <c r="AM106" i="6" s="1"/>
  <c r="AM107" i="6" s="1"/>
  <c r="AP69" i="6"/>
  <c r="AQ69" i="6"/>
  <c r="AR78" i="4"/>
  <c r="AP99" i="4"/>
  <c r="AQ98" i="4"/>
  <c r="AP98" i="4"/>
  <c r="F102" i="4" s="1"/>
  <c r="Y15" i="1"/>
  <c r="X29" i="1"/>
  <c r="X44" i="1" s="1"/>
  <c r="W116" i="1" s="1"/>
  <c r="F109" i="4" l="1"/>
  <c r="F108" i="4"/>
  <c r="F105" i="4"/>
  <c r="E107" i="4" s="1"/>
  <c r="F104" i="4"/>
  <c r="E106" i="4" s="1"/>
  <c r="I13" i="7"/>
  <c r="I9" i="7"/>
  <c r="I12" i="7"/>
  <c r="I8" i="7"/>
  <c r="W117" i="1"/>
  <c r="K6" i="7"/>
  <c r="AR69" i="6"/>
  <c r="AP90" i="6"/>
  <c r="AQ89" i="6"/>
  <c r="AP89" i="6"/>
  <c r="F93" i="6" s="1"/>
  <c r="AR98" i="4"/>
  <c r="AQ99" i="4"/>
  <c r="Y29" i="1"/>
  <c r="Y44" i="1" s="1"/>
  <c r="X116" i="1" s="1"/>
  <c r="Z15" i="1"/>
  <c r="F96" i="6" l="1"/>
  <c r="E98" i="6" s="1"/>
  <c r="F95" i="6"/>
  <c r="E97" i="6" s="1"/>
  <c r="F99" i="6"/>
  <c r="F100" i="6"/>
  <c r="Q9" i="7"/>
  <c r="Q13" i="7"/>
  <c r="Q12" i="7"/>
  <c r="Q8" i="7"/>
  <c r="X117" i="1"/>
  <c r="I11" i="7"/>
  <c r="K9" i="7"/>
  <c r="S6" i="7"/>
  <c r="AR89" i="6"/>
  <c r="AQ90" i="6"/>
  <c r="K13" i="7"/>
  <c r="K12" i="7"/>
  <c r="Z29" i="1"/>
  <c r="Z44" i="1" s="1"/>
  <c r="Y116" i="1" s="1"/>
  <c r="AA15" i="1"/>
  <c r="Y117" i="1" l="1"/>
  <c r="I10" i="7"/>
  <c r="K8" i="7"/>
  <c r="S12" i="7"/>
  <c r="S13" i="7"/>
  <c r="AA29" i="1"/>
  <c r="AA44" i="1" s="1"/>
  <c r="Z116" i="1" s="1"/>
  <c r="AB15" i="1"/>
  <c r="Z117" i="1" l="1"/>
  <c r="Q10" i="7"/>
  <c r="S8" i="7"/>
  <c r="Q11" i="7"/>
  <c r="S9" i="7"/>
  <c r="AB29" i="1"/>
  <c r="AB44" i="1" s="1"/>
  <c r="AA116" i="1" s="1"/>
  <c r="AC15" i="1"/>
  <c r="AA117" i="1" l="1"/>
  <c r="AD15" i="1"/>
  <c r="AC29" i="1"/>
  <c r="AC44" i="1" s="1"/>
  <c r="AB116" i="1" s="1"/>
  <c r="AB117" i="1" l="1"/>
  <c r="AF19" i="1"/>
  <c r="AH19" i="1" s="1"/>
  <c r="AF26" i="1"/>
  <c r="AH26" i="1" s="1"/>
  <c r="AF20" i="1"/>
  <c r="AH20" i="1" s="1"/>
  <c r="AF27" i="1"/>
  <c r="AH27" i="1" s="1"/>
  <c r="AF25" i="1"/>
  <c r="AF22" i="1"/>
  <c r="AH22" i="1" s="1"/>
  <c r="AF21" i="1"/>
  <c r="AH21" i="1" s="1"/>
  <c r="AR75" i="1"/>
  <c r="AR71" i="1"/>
  <c r="AR73" i="1"/>
  <c r="AR77" i="1"/>
  <c r="AR76" i="1"/>
  <c r="AR74" i="1"/>
  <c r="AR70" i="1"/>
  <c r="AR72" i="1"/>
  <c r="AD29" i="1"/>
  <c r="AG29" i="1" l="1"/>
  <c r="AD44" i="1"/>
  <c r="AF29" i="1"/>
  <c r="AF45" i="1" s="1"/>
  <c r="AH25" i="1"/>
  <c r="AF44" i="1" l="1"/>
  <c r="AG45" i="1" s="1"/>
  <c r="AC116" i="1"/>
  <c r="AC117" i="1" s="1"/>
  <c r="AD117" i="1" s="1"/>
  <c r="AG117" i="1" s="1"/>
  <c r="AH117" i="1" s="1"/>
  <c r="AI117" i="1" s="1"/>
  <c r="AJ117" i="1" s="1"/>
  <c r="AK117" i="1" s="1"/>
  <c r="AL117" i="1" s="1"/>
  <c r="AM117" i="1" s="1"/>
  <c r="AG44" i="1"/>
  <c r="AH29" i="1"/>
  <c r="E105" i="1" l="1"/>
  <c r="AH44" i="1"/>
  <c r="E108" i="1" l="1"/>
  <c r="E110" i="1" s="1"/>
  <c r="E107" i="1"/>
  <c r="E109" i="1" s="1"/>
  <c r="E10" i="7" s="1"/>
  <c r="E112" i="1"/>
  <c r="E13" i="7" s="1"/>
  <c r="E111" i="1"/>
  <c r="E12" i="7" s="1"/>
  <c r="E6" i="7"/>
  <c r="E8" i="7" l="1"/>
  <c r="E11" i="7"/>
  <c r="E9" i="7"/>
</calcChain>
</file>

<file path=xl/sharedStrings.xml><?xml version="1.0" encoding="utf-8"?>
<sst xmlns="http://schemas.openxmlformats.org/spreadsheetml/2006/main" count="604" uniqueCount="119">
  <si>
    <t>Title:</t>
  </si>
  <si>
    <t>Name :</t>
  </si>
  <si>
    <t>FFC</t>
  </si>
  <si>
    <t xml:space="preserve">Financial Year </t>
  </si>
  <si>
    <t xml:space="preserve">Month Length </t>
  </si>
  <si>
    <t xml:space="preserve">Escalation </t>
  </si>
  <si>
    <t xml:space="preserve">Months </t>
  </si>
  <si>
    <t>AVG Monthly Rate</t>
  </si>
  <si>
    <t xml:space="preserve">Project Manager </t>
  </si>
  <si>
    <t xml:space="preserve">Contracts Manager </t>
  </si>
  <si>
    <t xml:space="preserve">Project Coordinator </t>
  </si>
  <si>
    <t xml:space="preserve">Commercial Manager </t>
  </si>
  <si>
    <t xml:space="preserve">Construction Manager </t>
  </si>
  <si>
    <t xml:space="preserve">Monthly Rate </t>
  </si>
  <si>
    <t>State Manager</t>
  </si>
  <si>
    <t xml:space="preserve">Contractual DLP </t>
  </si>
  <si>
    <t xml:space="preserve">Home Building Act Minor Warranty Period </t>
  </si>
  <si>
    <t xml:space="preserve">Contract DLP &gt;&gt;&gt;12 Months </t>
  </si>
  <si>
    <t xml:space="preserve">NSW Home Building Act Minor Defects Warranty Period &gt;&gt;&gt; 24 Months </t>
  </si>
  <si>
    <t xml:space="preserve">Consultants </t>
  </si>
  <si>
    <t xml:space="preserve">Sundry Materials </t>
  </si>
  <si>
    <t xml:space="preserve">Unsecured trade costs </t>
  </si>
  <si>
    <t xml:space="preserve">Hire Equipment </t>
  </si>
  <si>
    <t xml:space="preserve">Legal Costs </t>
  </si>
  <si>
    <t xml:space="preserve">Litigation Costs </t>
  </si>
  <si>
    <t>Independent Experts</t>
  </si>
  <si>
    <t xml:space="preserve">NSW Residential Defects Management </t>
  </si>
  <si>
    <t xml:space="preserve">Staff, Labour, Consultant and Trade Forecast </t>
  </si>
  <si>
    <t xml:space="preserve">Contract Admin </t>
  </si>
  <si>
    <t xml:space="preserve">Supervisor/Foreman </t>
  </si>
  <si>
    <t xml:space="preserve">Customer Care Manager  </t>
  </si>
  <si>
    <t>Defect Labour - CW5</t>
  </si>
  <si>
    <t xml:space="preserve">Weekly </t>
  </si>
  <si>
    <t xml:space="preserve">External Costs </t>
  </si>
  <si>
    <t xml:space="preserve">DLP Manager </t>
  </si>
  <si>
    <t xml:space="preserve">Apts </t>
  </si>
  <si>
    <t xml:space="preserve">Total Staff Costs </t>
  </si>
  <si>
    <t xml:space="preserve">Staff Costs </t>
  </si>
  <si>
    <t xml:space="preserve">Total External Costs </t>
  </si>
  <si>
    <t xml:space="preserve">Total DLP Manager Costs </t>
  </si>
  <si>
    <t xml:space="preserve">With DLP Manager </t>
  </si>
  <si>
    <t xml:space="preserve">Without  DLP Manager </t>
  </si>
  <si>
    <t xml:space="preserve">Design Manager </t>
  </si>
  <si>
    <t xml:space="preserve">Services Manager </t>
  </si>
  <si>
    <t xml:space="preserve">Settlement Costs </t>
  </si>
  <si>
    <t xml:space="preserve">Defect Management Timeline </t>
  </si>
  <si>
    <t xml:space="preserve">Project team close out </t>
  </si>
  <si>
    <t xml:space="preserve">Customer Care Assume Responsibility </t>
  </si>
  <si>
    <t xml:space="preserve">Senior Mngt Involvement </t>
  </si>
  <si>
    <t>Return of Project Security &gt;&gt;&gt;</t>
  </si>
  <si>
    <t>Owners Corp Dissatisfaction</t>
  </si>
  <si>
    <t xml:space="preserve">OC Engage Lawyers </t>
  </si>
  <si>
    <t>Lawyers Engage 'experts'</t>
  </si>
  <si>
    <t xml:space="preserve">NCAT/Supreme Court Proceedings Commence </t>
  </si>
  <si>
    <t xml:space="preserve">Settlement </t>
  </si>
  <si>
    <t xml:space="preserve">Engagement of DLP Manager </t>
  </si>
  <si>
    <t xml:space="preserve">Customer Care Team Responsibility </t>
  </si>
  <si>
    <t xml:space="preserve">Active Owners Corp Engagment </t>
  </si>
  <si>
    <t xml:space="preserve">Additional Security Holding Costs </t>
  </si>
  <si>
    <t xml:space="preserve">Approx Value </t>
  </si>
  <si>
    <t xml:space="preserve">Excluded. Assumes Settlement Reached </t>
  </si>
  <si>
    <t xml:space="preserve">Comments </t>
  </si>
  <si>
    <t xml:space="preserve">Summary </t>
  </si>
  <si>
    <t xml:space="preserve">Without DLP Manager </t>
  </si>
  <si>
    <t xml:space="preserve">DLP Manager Total Cost </t>
  </si>
  <si>
    <t xml:space="preserve">DLP &amp; HBA Warranty Period Cost </t>
  </si>
  <si>
    <t xml:space="preserve">Cost Per Apartment </t>
  </si>
  <si>
    <t xml:space="preserve">Assumed No. of Apts </t>
  </si>
  <si>
    <t>DLP Cost as a % of Margin (assume 4%)</t>
  </si>
  <si>
    <t xml:space="preserve">DLP as a % of Job Cost </t>
  </si>
  <si>
    <t xml:space="preserve">Savings per Apartment </t>
  </si>
  <si>
    <t xml:space="preserve">Total DLP Cost </t>
  </si>
  <si>
    <t xml:space="preserve">Cost Saving </t>
  </si>
  <si>
    <t xml:space="preserve">DLP Manager Cost Benefit Analysis </t>
  </si>
  <si>
    <t xml:space="preserve">Possible Saving per Apartment </t>
  </si>
  <si>
    <t xml:space="preserve">Very Large Project - 500 apts </t>
  </si>
  <si>
    <t xml:space="preserve">Large Project - 250 apts </t>
  </si>
  <si>
    <t xml:space="preserve">Medium Project - 150 apts </t>
  </si>
  <si>
    <t xml:space="preserve">Small Project - 75 apts </t>
  </si>
  <si>
    <t>Weekly Rate (90% of Baseline)</t>
  </si>
  <si>
    <t>Weekly Rate (80% of Baseline)</t>
  </si>
  <si>
    <t>Weekly Rate (70% of Baseline)</t>
  </si>
  <si>
    <t xml:space="preserve">Baseline Rates </t>
  </si>
  <si>
    <t>Weekly Rate (100% of Baseline)</t>
  </si>
  <si>
    <t xml:space="preserve">Based on project value above </t>
  </si>
  <si>
    <t>Defect Cost as a % of Margin (assume 4%)</t>
  </si>
  <si>
    <t xml:space="preserve">Defect Cost as a % of Job Cost </t>
  </si>
  <si>
    <t>Senior Mngt Involvement &gt;&gt;&gt;</t>
  </si>
  <si>
    <t xml:space="preserve">Contracts Admin  </t>
  </si>
  <si>
    <t xml:space="preserve">Contracts Admin </t>
  </si>
  <si>
    <t>The analysis above and on the following pages presents typical scenarios comparing circumstances where the management of defects is well managed vs where they are poorly managed. The fundamental difference between these scenarios is the implementation of DLP Manager and the corresponding improvements in documentation, communication and rectification of defects. It also assumes improvements in the ability for the building contractor to defend against the over / inaccurate reporting of defects and to more effectively pass costs down to offending subcontractors. The analysis does not consider a range of further benefits arising from the utilisation of DLP Manager such as:</t>
  </si>
  <si>
    <t xml:space="preserve">Improvements in business productivity/opportunity arising from reduced involvememt of senior management, </t>
  </si>
  <si>
    <t xml:space="preserve">Avoiding litigation costs through the timely and efficient rectification of defects </t>
  </si>
  <si>
    <t>Reputational benefits</t>
  </si>
  <si>
    <t xml:space="preserve">Long term data collection that facilitates improved building practices and cost planning </t>
  </si>
  <si>
    <t xml:space="preserve">Improved relationships with clients, authroties and subcontractors </t>
  </si>
  <si>
    <t xml:space="preserve">Monthly Cost Without DLP Manager </t>
  </si>
  <si>
    <t xml:space="preserve">Monthly Cost With DLP Manager </t>
  </si>
  <si>
    <t xml:space="preserve">Cumlative Cost With DLP Manager </t>
  </si>
  <si>
    <t xml:space="preserve">Cumlative Cost Without DLP Manager </t>
  </si>
  <si>
    <t xml:space="preserve">Lost Business Opportunity </t>
  </si>
  <si>
    <t xml:space="preserve">Est Annual Cost </t>
  </si>
  <si>
    <t xml:space="preserve">Possible Intangible Costs </t>
  </si>
  <si>
    <t xml:space="preserve">Litigation Costs - Defect Defence </t>
  </si>
  <si>
    <t xml:space="preserve">Business Operations - unnecessary staff utilisation </t>
  </si>
  <si>
    <t xml:space="preserve">Future Work - effect on tendering </t>
  </si>
  <si>
    <t xml:space="preserve">Reputaional Damage - lost future margin </t>
  </si>
  <si>
    <t xml:space="preserve">Utilisation of Bonding Capacity - lost margin </t>
  </si>
  <si>
    <t>Staff Losses - recruitment costs, IP losses</t>
  </si>
  <si>
    <t xml:space="preserve">Subcontractor Pricing Response - increased future pricing </t>
  </si>
  <si>
    <t xml:space="preserve">Summary Data - See Chart Above </t>
  </si>
  <si>
    <t xml:space="preserve">Estimated to be half of one percent of job value </t>
  </si>
  <si>
    <t xml:space="preserve">1% loss of margin across the business arising from shift in senior management attention. Assumption that annual turnover is 5 x job cost </t>
  </si>
  <si>
    <t>Loss of profits arising from 5% loss on annual turnover. New projects not secured as a consequence of senior management focus on defect rectification/dispute.</t>
  </si>
  <si>
    <t>Loss of profits arising from 3% loss on annual turnover. New projects not secured as a consequence of reputational damage.</t>
  </si>
  <si>
    <t xml:space="preserve">Loss of annual profits asising from a lost project as a consequence of the contractors inability to provide secuirty for a new project as it remains tied to the ongoing defect dispute/rectification. </t>
  </si>
  <si>
    <t>Additional costs in connection with the loss of staff - lost IP and recriuitment fees. Estimated to be the equivalent to the value of the average annual cost of a single employee.</t>
  </si>
  <si>
    <t>An estimated 2% increase in subcontractor pricing on future works as a consequence of a frustrated defect resolution process.</t>
  </si>
  <si>
    <t>Nick Baxter - Ink Consulting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</si>
</sst>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Red]\-&quot;$&quot;#,##0"/>
    <numFmt numFmtId="165" formatCode="_-&quot;$&quot;* #,##0_-;\-&quot;$&quot;* #,##0_-;_-&quot;$&quot;* &quot;-&quot;_-;_-@_-"/>
    <numFmt numFmtId="166" formatCode="_-* #,##0_-;\-* #,##0_-;_-* &quot;-&quot;_-;_-@_-"/>
    <numFmt numFmtId="167" formatCode="_-&quot;$&quot;* #,##0.00_-;\-&quot;$&quot;* #,##0.00_-;_-&quot;$&quot;* &quot;-&quot;??_-;_-@_-"/>
    <numFmt numFmtId="168" formatCode="&quot;$&quot;#,##0;[Red]&quot;$&quot;#,##0"/>
    <numFmt numFmtId="169" formatCode="#,##0_ ;\-#,##0\ "/>
    <numFmt numFmtId="170" formatCode="_-&quot;$&quot;* #,##0_-;\-&quot;$&quot;* #,##0_-;_-&quot;$&quot;* &quot;-&quot;??_-;_-@_-"/>
    <numFmt numFmtId="171" formatCode="&quot;$&quot;#,##0"/>
    <numFmt numFmtId="172" formatCode="_-* #,##0.00_-;\-* #,##0.00_-;_-* &quot;-&quot;_-;_-@_-"/>
  </numFmts>
  <fonts count="20" x14ac:knownFonts="1">
    <font>
      <sz val="11"/>
      <color theme="1"/>
      <name val="Calibri"/>
      <family val="2"/>
      <scheme val="minor"/>
    </font>
    <font>
      <sz val="10"/>
      <color theme="1"/>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sz val="11"/>
      <color theme="1"/>
      <name val="Calibri"/>
      <family val="2"/>
      <scheme val="minor"/>
    </font>
    <font>
      <b/>
      <sz val="12"/>
      <color theme="1"/>
      <name val="Calibri"/>
      <family val="2"/>
      <scheme val="minor"/>
    </font>
    <font>
      <b/>
      <sz val="10"/>
      <name val="Calibri"/>
      <family val="2"/>
      <scheme val="minor"/>
    </font>
    <font>
      <sz val="10"/>
      <name val="Calibri"/>
      <family val="2"/>
      <scheme val="minor"/>
    </font>
    <font>
      <sz val="10"/>
      <color rgb="FF92D050"/>
      <name val="Calibri"/>
      <family val="2"/>
      <scheme val="minor"/>
    </font>
    <font>
      <i/>
      <sz val="10"/>
      <color rgb="FFFF0000"/>
      <name val="Calibri"/>
      <family val="2"/>
      <scheme val="minor"/>
    </font>
    <font>
      <i/>
      <sz val="10"/>
      <name val="Calibri"/>
      <family val="2"/>
      <scheme val="minor"/>
    </font>
    <font>
      <sz val="8"/>
      <color theme="1"/>
      <name val="Calibri"/>
      <family val="2"/>
      <scheme val="minor"/>
    </font>
    <font>
      <sz val="8"/>
      <name val="Calibri"/>
      <family val="2"/>
      <scheme val="minor"/>
    </font>
    <font>
      <sz val="10"/>
      <color theme="0"/>
      <name val="Calibri"/>
      <family val="2"/>
      <scheme val="minor"/>
    </font>
    <font>
      <b/>
      <sz val="14"/>
      <color theme="1"/>
      <name val="Calibri"/>
      <family val="2"/>
      <scheme val="minor"/>
    </font>
    <font>
      <sz val="14"/>
      <color theme="1"/>
      <name val="Calibri"/>
      <family val="2"/>
      <scheme val="minor"/>
    </font>
    <font>
      <b/>
      <sz val="20"/>
      <color theme="1"/>
      <name val="Calibri"/>
      <family val="2"/>
      <scheme val="minor"/>
    </font>
    <font>
      <b/>
      <sz val="18"/>
      <color theme="1"/>
      <name val="Calibri"/>
      <family val="2"/>
      <scheme val="minor"/>
    </font>
    <font>
      <sz val="12"/>
      <color theme="1"/>
      <name val="Calibri"/>
      <family val="2"/>
      <scheme val="minor"/>
    </font>
  </fonts>
  <fills count="18">
    <fill>
      <patternFill patternType="none"/>
    </fill>
    <fill>
      <patternFill patternType="gray125"/>
    </fill>
    <fill>
      <patternFill patternType="solid">
        <fgColor theme="7" tint="0.59999389629810485"/>
        <bgColor indexed="64"/>
      </patternFill>
    </fill>
    <fill>
      <patternFill patternType="solid">
        <fgColor theme="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medium">
        <color indexed="64"/>
      </right>
      <top style="thin">
        <color auto="1"/>
      </top>
      <bottom style="hair">
        <color auto="1"/>
      </bottom>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auto="1"/>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auto="1"/>
      </top>
      <bottom style="hair">
        <color auto="1"/>
      </bottom>
      <diagonal/>
    </border>
    <border>
      <left style="thin">
        <color auto="1"/>
      </left>
      <right/>
      <top style="thin">
        <color auto="1"/>
      </top>
      <bottom style="hair">
        <color auto="1"/>
      </bottom>
      <diagonal/>
    </border>
    <border>
      <left style="medium">
        <color indexed="64"/>
      </left>
      <right style="medium">
        <color indexed="64"/>
      </right>
      <top/>
      <bottom/>
      <diagonal/>
    </border>
    <border>
      <left/>
      <right style="thin">
        <color indexed="64"/>
      </right>
      <top/>
      <bottom/>
      <diagonal/>
    </border>
    <border>
      <left/>
      <right/>
      <top/>
      <bottom style="medium">
        <color auto="1"/>
      </bottom>
      <diagonal/>
    </border>
    <border>
      <left style="medium">
        <color indexed="64"/>
      </left>
      <right/>
      <top style="thin">
        <color auto="1"/>
      </top>
      <bottom style="hair">
        <color auto="1"/>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hair">
        <color auto="1"/>
      </bottom>
      <diagonal/>
    </border>
    <border>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indexed="64"/>
      </left>
      <right style="thin">
        <color auto="1"/>
      </right>
      <top style="medium">
        <color indexed="64"/>
      </top>
      <bottom style="hair">
        <color auto="1"/>
      </bottom>
      <diagonal/>
    </border>
    <border>
      <left style="thin">
        <color auto="1"/>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medium">
        <color indexed="64"/>
      </right>
      <top style="medium">
        <color indexed="64"/>
      </top>
      <bottom style="hair">
        <color indexed="64"/>
      </bottom>
      <diagonal/>
    </border>
    <border>
      <left/>
      <right style="thin">
        <color indexed="64"/>
      </right>
      <top style="thin">
        <color indexed="64"/>
      </top>
      <bottom/>
      <diagonal/>
    </border>
    <border>
      <left/>
      <right style="medium">
        <color indexed="64"/>
      </right>
      <top style="thin">
        <color indexed="64"/>
      </top>
      <bottom/>
      <diagonal/>
    </border>
    <border>
      <left/>
      <right/>
      <top/>
      <bottom style="hair">
        <color indexed="64"/>
      </bottom>
      <diagonal/>
    </border>
    <border>
      <left style="medium">
        <color indexed="64"/>
      </left>
      <right/>
      <top style="medium">
        <color auto="1"/>
      </top>
      <bottom style="thin">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thin">
        <color auto="1"/>
      </left>
      <right/>
      <top style="medium">
        <color indexed="64"/>
      </top>
      <bottom style="medium">
        <color indexed="64"/>
      </bottom>
      <diagonal/>
    </border>
    <border>
      <left style="medium">
        <color indexed="64"/>
      </left>
      <right style="thin">
        <color indexed="64"/>
      </right>
      <top style="hair">
        <color auto="1"/>
      </top>
      <bottom style="hair">
        <color indexed="64"/>
      </bottom>
      <diagonal/>
    </border>
    <border>
      <left/>
      <right/>
      <top style="medium">
        <color indexed="64"/>
      </top>
      <bottom style="hair">
        <color auto="1"/>
      </bottom>
      <diagonal/>
    </border>
    <border>
      <left style="medium">
        <color indexed="64"/>
      </left>
      <right/>
      <top style="hair">
        <color auto="1"/>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hair">
        <color auto="1"/>
      </top>
      <bottom style="hair">
        <color indexed="64"/>
      </bottom>
      <diagonal/>
    </border>
    <border>
      <left/>
      <right style="medium">
        <color indexed="64"/>
      </right>
      <top style="hair">
        <color auto="1"/>
      </top>
      <bottom style="hair">
        <color indexed="64"/>
      </bottom>
      <diagonal/>
    </border>
    <border>
      <left style="thin">
        <color auto="1"/>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diagonal/>
    </border>
  </borders>
  <cellStyleXfs count="3">
    <xf numFmtId="0" fontId="0" fillId="0" borderId="0"/>
    <xf numFmtId="9" fontId="5" fillId="0" borderId="0" applyFont="0" applyFill="0" applyBorder="0" applyAlignment="0" applyProtection="0"/>
    <xf numFmtId="167" fontId="5" fillId="0" borderId="0" applyFont="0" applyFill="0" applyBorder="0" applyAlignment="0" applyProtection="0"/>
  </cellStyleXfs>
  <cellXfs count="400">
    <xf numFmtId="0" fontId="0" fillId="0" borderId="0" xfId="0"/>
    <xf numFmtId="2" fontId="7" fillId="0" borderId="6" xfId="0" applyNumberFormat="1" applyFont="1" applyFill="1" applyBorder="1" applyAlignment="1">
      <alignment horizontal="center" vertical="center"/>
    </xf>
    <xf numFmtId="2" fontId="7" fillId="0" borderId="1" xfId="0" applyNumberFormat="1" applyFont="1" applyFill="1" applyBorder="1" applyAlignment="1">
      <alignment horizontal="center" vertical="center"/>
    </xf>
    <xf numFmtId="2" fontId="7" fillId="0" borderId="7" xfId="0" applyNumberFormat="1" applyFont="1" applyFill="1" applyBorder="1" applyAlignment="1">
      <alignment horizontal="center" vertical="center"/>
    </xf>
    <xf numFmtId="2" fontId="7" fillId="0" borderId="8" xfId="0" applyNumberFormat="1" applyFont="1" applyFill="1" applyBorder="1" applyAlignment="1">
      <alignment horizontal="center" vertical="center"/>
    </xf>
    <xf numFmtId="9" fontId="9" fillId="5" borderId="11" xfId="0" applyNumberFormat="1" applyFont="1" applyFill="1" applyBorder="1" applyAlignment="1">
      <alignment vertical="center"/>
    </xf>
    <xf numFmtId="9" fontId="9" fillId="5" borderId="12" xfId="0" applyNumberFormat="1" applyFont="1" applyFill="1" applyBorder="1" applyAlignment="1">
      <alignment vertical="center"/>
    </xf>
    <xf numFmtId="9" fontId="9" fillId="5" borderId="14" xfId="0" applyNumberFormat="1" applyFont="1" applyFill="1" applyBorder="1" applyAlignment="1">
      <alignment vertical="center"/>
    </xf>
    <xf numFmtId="168" fontId="10" fillId="5" borderId="15" xfId="0" applyNumberFormat="1" applyFont="1" applyFill="1" applyBorder="1" applyAlignment="1">
      <alignment vertical="center"/>
    </xf>
    <xf numFmtId="38" fontId="7" fillId="0" borderId="23" xfId="0" applyNumberFormat="1" applyFont="1" applyFill="1" applyBorder="1" applyAlignment="1">
      <alignment horizontal="center" vertical="center"/>
    </xf>
    <xf numFmtId="38" fontId="7" fillId="0" borderId="24" xfId="0" applyNumberFormat="1" applyFont="1" applyFill="1" applyBorder="1" applyAlignment="1">
      <alignment horizontal="center" vertical="center"/>
    </xf>
    <xf numFmtId="38" fontId="7" fillId="0" borderId="21" xfId="0" applyNumberFormat="1" applyFont="1" applyFill="1" applyBorder="1" applyAlignment="1">
      <alignment horizontal="center" vertical="center"/>
    </xf>
    <xf numFmtId="0" fontId="2" fillId="5" borderId="14" xfId="0" applyFont="1" applyFill="1" applyBorder="1" applyAlignment="1">
      <alignment horizontal="center" vertical="center"/>
    </xf>
    <xf numFmtId="9" fontId="9" fillId="5" borderId="31" xfId="0" applyNumberFormat="1" applyFont="1" applyFill="1" applyBorder="1" applyAlignment="1">
      <alignment vertical="center"/>
    </xf>
    <xf numFmtId="38" fontId="7" fillId="0" borderId="20" xfId="0" applyNumberFormat="1" applyFont="1" applyFill="1" applyBorder="1" applyAlignment="1">
      <alignment horizontal="center" vertical="center"/>
    </xf>
    <xf numFmtId="9" fontId="9" fillId="5" borderId="32" xfId="0" applyNumberFormat="1" applyFont="1" applyFill="1" applyBorder="1" applyAlignment="1">
      <alignment vertical="center"/>
    </xf>
    <xf numFmtId="17" fontId="3" fillId="3" borderId="19" xfId="0" applyNumberFormat="1" applyFont="1" applyFill="1" applyBorder="1" applyAlignment="1">
      <alignment horizontal="center" vertical="center" wrapText="1"/>
    </xf>
    <xf numFmtId="17" fontId="3" fillId="3" borderId="20" xfId="0" applyNumberFormat="1" applyFont="1" applyFill="1" applyBorder="1" applyAlignment="1">
      <alignment horizontal="center" vertical="center" wrapText="1"/>
    </xf>
    <xf numFmtId="165" fontId="7" fillId="0" borderId="25" xfId="0" applyNumberFormat="1" applyFont="1" applyFill="1" applyBorder="1" applyAlignment="1">
      <alignment vertical="center"/>
    </xf>
    <xf numFmtId="168" fontId="7" fillId="0" borderId="25" xfId="0" applyNumberFormat="1" applyFont="1" applyFill="1" applyBorder="1" applyAlignment="1">
      <alignment vertical="center"/>
    </xf>
    <xf numFmtId="38" fontId="7" fillId="6" borderId="24" xfId="0" applyNumberFormat="1" applyFont="1" applyFill="1" applyBorder="1" applyAlignment="1">
      <alignment horizontal="right" vertical="center"/>
    </xf>
    <xf numFmtId="0" fontId="4" fillId="5" borderId="13" xfId="0" applyFont="1" applyFill="1" applyBorder="1" applyAlignment="1">
      <alignment vertical="center"/>
    </xf>
    <xf numFmtId="0" fontId="2" fillId="0" borderId="0" xfId="0" applyFont="1" applyAlignment="1">
      <alignment vertical="center"/>
    </xf>
    <xf numFmtId="0" fontId="0" fillId="0" borderId="0" xfId="0" applyAlignment="1">
      <alignment vertical="center"/>
    </xf>
    <xf numFmtId="0" fontId="2" fillId="0" borderId="0" xfId="0" applyFont="1" applyBorder="1" applyAlignment="1">
      <alignment vertical="center"/>
    </xf>
    <xf numFmtId="0" fontId="6" fillId="0" borderId="0" xfId="0" applyFont="1" applyAlignment="1">
      <alignment vertical="center"/>
    </xf>
    <xf numFmtId="0" fontId="0" fillId="0" borderId="0" xfId="0" applyBorder="1" applyAlignment="1">
      <alignment vertical="center"/>
    </xf>
    <xf numFmtId="0" fontId="0" fillId="0" borderId="33" xfId="0" applyBorder="1" applyAlignment="1">
      <alignment vertical="center"/>
    </xf>
    <xf numFmtId="0" fontId="8" fillId="0" borderId="0" xfId="0" applyFont="1" applyFill="1" applyAlignment="1">
      <alignment vertical="center"/>
    </xf>
    <xf numFmtId="0" fontId="4" fillId="5" borderId="36" xfId="0" applyFont="1" applyFill="1" applyBorder="1" applyAlignment="1">
      <alignment vertical="center"/>
    </xf>
    <xf numFmtId="165" fontId="11" fillId="6" borderId="17" xfId="0" applyNumberFormat="1" applyFont="1" applyFill="1" applyBorder="1" applyAlignment="1">
      <alignment vertical="center"/>
    </xf>
    <xf numFmtId="169" fontId="11" fillId="6" borderId="17" xfId="0" applyNumberFormat="1" applyFont="1" applyFill="1" applyBorder="1" applyAlignment="1">
      <alignment vertical="center"/>
    </xf>
    <xf numFmtId="167" fontId="2" fillId="0" borderId="0" xfId="2" applyFont="1" applyAlignment="1">
      <alignment vertical="center"/>
    </xf>
    <xf numFmtId="167" fontId="1" fillId="0" borderId="1" xfId="2" applyFont="1" applyBorder="1" applyAlignment="1">
      <alignment horizontal="center" vertical="center"/>
    </xf>
    <xf numFmtId="167" fontId="7" fillId="0" borderId="1" xfId="2" applyFont="1" applyFill="1" applyBorder="1" applyAlignment="1">
      <alignment vertical="center" wrapText="1"/>
    </xf>
    <xf numFmtId="167" fontId="2" fillId="0" borderId="1" xfId="2" applyFont="1" applyFill="1" applyBorder="1" applyAlignment="1">
      <alignment horizontal="center" vertical="center"/>
    </xf>
    <xf numFmtId="167" fontId="7" fillId="0" borderId="1" xfId="2" applyFont="1" applyFill="1" applyBorder="1" applyAlignment="1">
      <alignment horizontal="center" vertical="center"/>
    </xf>
    <xf numFmtId="167" fontId="3" fillId="3" borderId="34" xfId="2" applyFont="1" applyFill="1" applyBorder="1" applyAlignment="1">
      <alignment horizontal="center" vertical="center" wrapText="1"/>
    </xf>
    <xf numFmtId="0" fontId="6" fillId="0" borderId="0" xfId="0" applyFont="1" applyFill="1" applyAlignment="1">
      <alignment vertical="center"/>
    </xf>
    <xf numFmtId="0" fontId="1" fillId="0" borderId="37" xfId="0" applyFont="1" applyFill="1" applyBorder="1" applyAlignment="1">
      <alignment horizontal="left" vertical="center"/>
    </xf>
    <xf numFmtId="166" fontId="11" fillId="6" borderId="40" xfId="0" applyNumberFormat="1" applyFont="1" applyFill="1" applyBorder="1" applyAlignment="1">
      <alignment vertical="center"/>
    </xf>
    <xf numFmtId="9" fontId="11" fillId="0" borderId="39" xfId="1" applyNumberFormat="1" applyFont="1" applyFill="1" applyBorder="1" applyAlignment="1">
      <alignment vertical="center"/>
    </xf>
    <xf numFmtId="9" fontId="11" fillId="0" borderId="38" xfId="1" applyNumberFormat="1" applyFont="1" applyFill="1" applyBorder="1" applyAlignment="1">
      <alignment vertical="center"/>
    </xf>
    <xf numFmtId="167" fontId="7" fillId="0" borderId="0" xfId="2" applyFont="1" applyFill="1" applyBorder="1" applyAlignment="1">
      <alignment horizontal="center" vertical="center"/>
    </xf>
    <xf numFmtId="0" fontId="7" fillId="6" borderId="0" xfId="0" applyFont="1" applyFill="1" applyBorder="1" applyAlignment="1">
      <alignment horizontal="right" vertical="center"/>
    </xf>
    <xf numFmtId="38" fontId="7" fillId="6" borderId="0" xfId="0" applyNumberFormat="1" applyFont="1" applyFill="1" applyBorder="1" applyAlignment="1">
      <alignment horizontal="right" vertical="center"/>
    </xf>
    <xf numFmtId="38" fontId="7" fillId="0" borderId="0" xfId="0" applyNumberFormat="1" applyFont="1" applyFill="1" applyBorder="1" applyAlignment="1">
      <alignment horizontal="center" vertical="center"/>
    </xf>
    <xf numFmtId="168" fontId="7" fillId="0" borderId="0" xfId="0" applyNumberFormat="1" applyFont="1" applyFill="1" applyBorder="1" applyAlignment="1">
      <alignment vertical="center"/>
    </xf>
    <xf numFmtId="165" fontId="7" fillId="0" borderId="0" xfId="0" applyNumberFormat="1" applyFont="1" applyFill="1" applyBorder="1" applyAlignment="1">
      <alignment vertical="center"/>
    </xf>
    <xf numFmtId="165" fontId="0" fillId="0" borderId="0" xfId="0" applyNumberFormat="1" applyAlignment="1">
      <alignment vertical="center"/>
    </xf>
    <xf numFmtId="0" fontId="12" fillId="0" borderId="0" xfId="0" applyFont="1" applyBorder="1" applyAlignment="1">
      <alignment horizontal="right" vertical="center"/>
    </xf>
    <xf numFmtId="9" fontId="11" fillId="6" borderId="40" xfId="0" applyNumberFormat="1" applyFont="1" applyFill="1" applyBorder="1" applyAlignment="1">
      <alignment vertical="center"/>
    </xf>
    <xf numFmtId="9" fontId="11" fillId="6" borderId="42" xfId="0" applyNumberFormat="1" applyFont="1" applyFill="1" applyBorder="1" applyAlignment="1">
      <alignment vertical="center"/>
    </xf>
    <xf numFmtId="0" fontId="1" fillId="0" borderId="37" xfId="0" applyFont="1" applyFill="1" applyBorder="1" applyAlignment="1">
      <alignment vertical="center"/>
    </xf>
    <xf numFmtId="166" fontId="2" fillId="6" borderId="40" xfId="0" applyNumberFormat="1" applyFont="1" applyFill="1" applyBorder="1" applyAlignment="1">
      <alignment horizontal="left" vertical="center"/>
    </xf>
    <xf numFmtId="9" fontId="11" fillId="6" borderId="39" xfId="0" applyNumberFormat="1" applyFont="1" applyFill="1" applyBorder="1" applyAlignment="1">
      <alignment vertical="center"/>
    </xf>
    <xf numFmtId="165" fontId="11" fillId="6" borderId="44" xfId="0" applyNumberFormat="1" applyFont="1" applyFill="1" applyBorder="1" applyAlignment="1">
      <alignment vertical="center"/>
    </xf>
    <xf numFmtId="169" fontId="11" fillId="6" borderId="44" xfId="0" applyNumberFormat="1" applyFont="1" applyFill="1" applyBorder="1" applyAlignment="1">
      <alignment vertical="center"/>
    </xf>
    <xf numFmtId="0" fontId="8" fillId="0" borderId="39" xfId="0" applyFont="1" applyFill="1" applyBorder="1" applyAlignment="1">
      <alignment horizontal="left" vertical="center"/>
    </xf>
    <xf numFmtId="2" fontId="7" fillId="0" borderId="45" xfId="0" applyNumberFormat="1" applyFont="1" applyFill="1" applyBorder="1" applyAlignment="1">
      <alignment horizontal="center" vertical="center"/>
    </xf>
    <xf numFmtId="1" fontId="7" fillId="0" borderId="3" xfId="0" applyNumberFormat="1" applyFont="1" applyFill="1" applyBorder="1" applyAlignment="1">
      <alignment horizontal="center" vertical="center"/>
    </xf>
    <xf numFmtId="0" fontId="1" fillId="5" borderId="12" xfId="0" applyFont="1" applyFill="1" applyBorder="1" applyAlignment="1">
      <alignment horizontal="center" vertical="center"/>
    </xf>
    <xf numFmtId="167" fontId="8" fillId="0" borderId="39" xfId="2" applyFont="1" applyFill="1" applyBorder="1" applyAlignment="1">
      <alignment horizontal="left" vertical="center"/>
    </xf>
    <xf numFmtId="9" fontId="11" fillId="0" borderId="41" xfId="1" applyNumberFormat="1" applyFont="1" applyFill="1" applyBorder="1" applyAlignment="1">
      <alignment vertical="center"/>
    </xf>
    <xf numFmtId="9" fontId="11" fillId="0" borderId="41" xfId="1" applyNumberFormat="1" applyFont="1" applyFill="1" applyBorder="1" applyAlignment="1">
      <alignment horizontal="right" vertical="center"/>
    </xf>
    <xf numFmtId="9" fontId="11" fillId="6" borderId="39" xfId="1" applyNumberFormat="1" applyFont="1" applyFill="1" applyBorder="1" applyAlignment="1">
      <alignment vertical="center"/>
    </xf>
    <xf numFmtId="9" fontId="11" fillId="6" borderId="43" xfId="1" applyNumberFormat="1" applyFont="1" applyFill="1" applyBorder="1" applyAlignment="1">
      <alignment vertical="center"/>
    </xf>
    <xf numFmtId="9" fontId="11" fillId="6" borderId="41" xfId="1" applyNumberFormat="1" applyFont="1" applyFill="1" applyBorder="1" applyAlignment="1">
      <alignment vertical="center"/>
    </xf>
    <xf numFmtId="0" fontId="1" fillId="0" borderId="0" xfId="0" applyFont="1" applyAlignment="1">
      <alignment vertical="center"/>
    </xf>
    <xf numFmtId="17" fontId="3" fillId="3" borderId="0" xfId="0" applyNumberFormat="1" applyFont="1" applyFill="1" applyBorder="1" applyAlignment="1">
      <alignment horizontal="center" vertical="center" wrapText="1"/>
    </xf>
    <xf numFmtId="17" fontId="3" fillId="3" borderId="35" xfId="0" applyNumberFormat="1" applyFont="1" applyFill="1" applyBorder="1" applyAlignment="1">
      <alignment horizontal="center" vertical="center" wrapText="1"/>
    </xf>
    <xf numFmtId="170" fontId="8" fillId="0" borderId="39" xfId="2" applyNumberFormat="1" applyFont="1" applyFill="1" applyBorder="1" applyAlignment="1">
      <alignment horizontal="left" vertical="center"/>
    </xf>
    <xf numFmtId="0" fontId="3" fillId="3" borderId="47" xfId="0" applyFont="1" applyFill="1" applyBorder="1" applyAlignment="1">
      <alignment horizontal="center" vertical="center"/>
    </xf>
    <xf numFmtId="0" fontId="3" fillId="3" borderId="27" xfId="0" applyFont="1" applyFill="1" applyBorder="1" applyAlignment="1">
      <alignment horizontal="center" vertical="center"/>
    </xf>
    <xf numFmtId="38" fontId="3" fillId="3" borderId="26" xfId="0" applyNumberFormat="1" applyFont="1" applyFill="1" applyBorder="1" applyAlignment="1">
      <alignment horizontal="center" vertical="center"/>
    </xf>
    <xf numFmtId="9" fontId="11" fillId="0" borderId="16" xfId="1" applyNumberFormat="1" applyFont="1" applyFill="1" applyBorder="1" applyAlignment="1">
      <alignment vertical="center"/>
    </xf>
    <xf numFmtId="9" fontId="11" fillId="0" borderId="40" xfId="1" applyNumberFormat="1" applyFont="1" applyFill="1" applyBorder="1" applyAlignment="1">
      <alignment vertical="center"/>
    </xf>
    <xf numFmtId="171" fontId="11" fillId="0" borderId="41" xfId="1" applyNumberFormat="1" applyFont="1" applyFill="1" applyBorder="1" applyAlignment="1">
      <alignment vertical="center"/>
    </xf>
    <xf numFmtId="171" fontId="11" fillId="0" borderId="39" xfId="1" applyNumberFormat="1" applyFont="1" applyFill="1" applyBorder="1" applyAlignment="1">
      <alignment vertical="center"/>
    </xf>
    <xf numFmtId="171" fontId="11" fillId="0" borderId="40" xfId="1" applyNumberFormat="1" applyFont="1" applyFill="1" applyBorder="1" applyAlignment="1">
      <alignment vertical="center"/>
    </xf>
    <xf numFmtId="171" fontId="11" fillId="0" borderId="38" xfId="1" applyNumberFormat="1" applyFont="1" applyFill="1" applyBorder="1" applyAlignment="1">
      <alignment vertical="center"/>
    </xf>
    <xf numFmtId="171" fontId="11" fillId="6" borderId="39" xfId="0" applyNumberFormat="1" applyFont="1" applyFill="1" applyBorder="1" applyAlignment="1">
      <alignment vertical="center"/>
    </xf>
    <xf numFmtId="171" fontId="11" fillId="6" borderId="43" xfId="0" applyNumberFormat="1" applyFont="1" applyFill="1" applyBorder="1" applyAlignment="1">
      <alignment vertical="center"/>
    </xf>
    <xf numFmtId="171" fontId="11" fillId="6" borderId="41" xfId="0" applyNumberFormat="1" applyFont="1" applyFill="1" applyBorder="1" applyAlignment="1">
      <alignment vertical="center"/>
    </xf>
    <xf numFmtId="171" fontId="11" fillId="6" borderId="40" xfId="0" applyNumberFormat="1" applyFont="1" applyFill="1" applyBorder="1" applyAlignment="1">
      <alignment vertical="center"/>
    </xf>
    <xf numFmtId="164" fontId="8" fillId="0" borderId="39" xfId="0" applyNumberFormat="1" applyFont="1" applyFill="1" applyBorder="1" applyAlignment="1">
      <alignment horizontal="left" vertical="center"/>
    </xf>
    <xf numFmtId="0" fontId="4" fillId="5" borderId="48" xfId="0" applyFont="1" applyFill="1" applyBorder="1" applyAlignment="1">
      <alignment vertical="center"/>
    </xf>
    <xf numFmtId="0" fontId="4" fillId="5" borderId="49" xfId="0" applyFont="1" applyFill="1" applyBorder="1" applyAlignment="1">
      <alignment vertical="center"/>
    </xf>
    <xf numFmtId="0" fontId="2" fillId="5" borderId="50" xfId="0" applyFont="1" applyFill="1" applyBorder="1" applyAlignment="1">
      <alignment horizontal="center" vertical="center"/>
    </xf>
    <xf numFmtId="0" fontId="2" fillId="5" borderId="51" xfId="0" applyFont="1" applyFill="1" applyBorder="1" applyAlignment="1">
      <alignment horizontal="center" vertical="center"/>
    </xf>
    <xf numFmtId="9" fontId="8" fillId="5" borderId="52" xfId="0" applyNumberFormat="1" applyFont="1" applyFill="1" applyBorder="1" applyAlignment="1">
      <alignment vertical="center"/>
    </xf>
    <xf numFmtId="9" fontId="8" fillId="5" borderId="50" xfId="0" applyNumberFormat="1" applyFont="1" applyFill="1" applyBorder="1" applyAlignment="1">
      <alignment vertical="center"/>
    </xf>
    <xf numFmtId="9" fontId="8" fillId="5" borderId="53" xfId="0" applyNumberFormat="1" applyFont="1" applyFill="1" applyBorder="1" applyAlignment="1">
      <alignment vertical="center"/>
    </xf>
    <xf numFmtId="9" fontId="8" fillId="5" borderId="51" xfId="0" applyNumberFormat="1" applyFont="1" applyFill="1" applyBorder="1" applyAlignment="1">
      <alignment vertical="center"/>
    </xf>
    <xf numFmtId="9" fontId="8" fillId="5" borderId="54" xfId="0" applyNumberFormat="1" applyFont="1" applyFill="1" applyBorder="1" applyAlignment="1">
      <alignment vertical="center"/>
    </xf>
    <xf numFmtId="168" fontId="11" fillId="5" borderId="55" xfId="0" applyNumberFormat="1" applyFont="1" applyFill="1" applyBorder="1" applyAlignment="1">
      <alignment vertical="center"/>
    </xf>
    <xf numFmtId="0" fontId="1" fillId="5" borderId="50" xfId="0" applyFont="1" applyFill="1" applyBorder="1" applyAlignment="1">
      <alignment horizontal="center" vertical="center"/>
    </xf>
    <xf numFmtId="0" fontId="1" fillId="5" borderId="51" xfId="0" applyFont="1" applyFill="1" applyBorder="1" applyAlignment="1">
      <alignment horizontal="center" vertical="center"/>
    </xf>
    <xf numFmtId="165" fontId="7" fillId="0" borderId="23" xfId="0" applyNumberFormat="1" applyFont="1" applyFill="1" applyBorder="1" applyAlignment="1">
      <alignment horizontal="center" vertical="center"/>
    </xf>
    <xf numFmtId="165" fontId="7" fillId="0" borderId="24" xfId="0" applyNumberFormat="1" applyFont="1" applyFill="1" applyBorder="1" applyAlignment="1">
      <alignment horizontal="center" vertical="center"/>
    </xf>
    <xf numFmtId="38" fontId="7" fillId="7" borderId="24" xfId="0" applyNumberFormat="1" applyFont="1" applyFill="1" applyBorder="1" applyAlignment="1">
      <alignment horizontal="right" vertical="center"/>
    </xf>
    <xf numFmtId="38" fontId="7" fillId="7" borderId="23" xfId="0" applyNumberFormat="1" applyFont="1" applyFill="1" applyBorder="1" applyAlignment="1">
      <alignment horizontal="center" vertical="center"/>
    </xf>
    <xf numFmtId="38" fontId="7" fillId="7" borderId="21" xfId="0" applyNumberFormat="1" applyFont="1" applyFill="1" applyBorder="1" applyAlignment="1">
      <alignment horizontal="center" vertical="center"/>
    </xf>
    <xf numFmtId="38" fontId="7" fillId="7" borderId="24" xfId="0" applyNumberFormat="1" applyFont="1" applyFill="1" applyBorder="1" applyAlignment="1">
      <alignment horizontal="center" vertical="center"/>
    </xf>
    <xf numFmtId="38" fontId="7" fillId="7" borderId="20" xfId="0" applyNumberFormat="1" applyFont="1" applyFill="1" applyBorder="1" applyAlignment="1">
      <alignment horizontal="center" vertical="center"/>
    </xf>
    <xf numFmtId="38" fontId="7" fillId="7" borderId="21" xfId="0" applyNumberFormat="1" applyFont="1" applyFill="1" applyBorder="1" applyAlignment="1">
      <alignment horizontal="right" vertical="center"/>
    </xf>
    <xf numFmtId="169" fontId="7" fillId="0" borderId="25" xfId="0" applyNumberFormat="1" applyFont="1" applyFill="1" applyBorder="1" applyAlignment="1">
      <alignment vertical="center"/>
    </xf>
    <xf numFmtId="0" fontId="0" fillId="4" borderId="0" xfId="0" applyFill="1" applyBorder="1" applyAlignment="1">
      <alignment horizontal="center"/>
    </xf>
    <xf numFmtId="167" fontId="2" fillId="0" borderId="0" xfId="2" applyFont="1" applyFill="1" applyAlignment="1">
      <alignment vertical="center"/>
    </xf>
    <xf numFmtId="0" fontId="0" fillId="0" borderId="0" xfId="0" applyFill="1" applyAlignment="1">
      <alignment vertical="center"/>
    </xf>
    <xf numFmtId="0" fontId="2" fillId="0" borderId="0" xfId="0" applyFont="1" applyFill="1" applyAlignment="1">
      <alignment vertical="center"/>
    </xf>
    <xf numFmtId="2" fontId="7" fillId="0" borderId="57" xfId="0" applyNumberFormat="1" applyFont="1" applyFill="1" applyBorder="1" applyAlignment="1">
      <alignment horizontal="center" vertical="center"/>
    </xf>
    <xf numFmtId="9" fontId="11" fillId="0" borderId="58" xfId="1" applyNumberFormat="1" applyFont="1" applyFill="1" applyBorder="1" applyAlignment="1">
      <alignment vertical="center"/>
    </xf>
    <xf numFmtId="171" fontId="11" fillId="0" borderId="58" xfId="1" applyNumberFormat="1" applyFont="1" applyFill="1" applyBorder="1" applyAlignment="1">
      <alignment vertical="center"/>
    </xf>
    <xf numFmtId="9" fontId="11" fillId="6" borderId="58" xfId="1" applyNumberFormat="1" applyFont="1" applyFill="1" applyBorder="1" applyAlignment="1">
      <alignment vertical="center"/>
    </xf>
    <xf numFmtId="171" fontId="11" fillId="6" borderId="58" xfId="0" applyNumberFormat="1" applyFont="1" applyFill="1" applyBorder="1" applyAlignment="1">
      <alignment vertical="center"/>
    </xf>
    <xf numFmtId="0" fontId="0" fillId="6" borderId="0" xfId="0" applyFill="1" applyBorder="1" applyAlignment="1">
      <alignment horizontal="center"/>
    </xf>
    <xf numFmtId="0" fontId="3" fillId="3" borderId="65" xfId="0" applyFont="1" applyFill="1" applyBorder="1" applyAlignment="1">
      <alignment horizontal="center" vertical="center"/>
    </xf>
    <xf numFmtId="0" fontId="3" fillId="3" borderId="35" xfId="0" applyFont="1" applyFill="1" applyBorder="1" applyAlignment="1">
      <alignment horizontal="center" vertical="center"/>
    </xf>
    <xf numFmtId="38" fontId="3" fillId="3" borderId="66" xfId="0" applyNumberFormat="1" applyFont="1" applyFill="1" applyBorder="1" applyAlignment="1">
      <alignment horizontal="center" vertical="center"/>
    </xf>
    <xf numFmtId="0" fontId="2" fillId="0" borderId="34" xfId="0" applyFont="1" applyBorder="1" applyAlignment="1">
      <alignment vertical="center"/>
    </xf>
    <xf numFmtId="0" fontId="2" fillId="0" borderId="34" xfId="0" applyFont="1" applyFill="1" applyBorder="1" applyAlignment="1">
      <alignment vertical="center"/>
    </xf>
    <xf numFmtId="0" fontId="0" fillId="6" borderId="10" xfId="0" applyFill="1" applyBorder="1" applyAlignment="1">
      <alignment horizontal="center"/>
    </xf>
    <xf numFmtId="0" fontId="2" fillId="6" borderId="0" xfId="0" applyFont="1" applyFill="1" applyBorder="1" applyAlignment="1">
      <alignment vertical="center"/>
    </xf>
    <xf numFmtId="0" fontId="2" fillId="6" borderId="34" xfId="0" applyFont="1" applyFill="1" applyBorder="1" applyAlignment="1">
      <alignment vertical="center"/>
    </xf>
    <xf numFmtId="0" fontId="2" fillId="6" borderId="62" xfId="0" applyFont="1" applyFill="1" applyBorder="1" applyAlignment="1">
      <alignment vertical="center"/>
    </xf>
    <xf numFmtId="0" fontId="0" fillId="6" borderId="29" xfId="0" applyFill="1" applyBorder="1" applyAlignment="1">
      <alignment vertical="center"/>
    </xf>
    <xf numFmtId="0" fontId="2" fillId="6" borderId="29" xfId="0" applyFont="1" applyFill="1" applyBorder="1" applyAlignment="1">
      <alignment vertical="center"/>
    </xf>
    <xf numFmtId="0" fontId="2" fillId="6" borderId="56" xfId="0" applyFont="1" applyFill="1" applyBorder="1" applyAlignment="1">
      <alignment vertical="center"/>
    </xf>
    <xf numFmtId="0" fontId="0" fillId="6" borderId="67" xfId="0" applyFill="1" applyBorder="1" applyAlignment="1">
      <alignment horizontal="center"/>
    </xf>
    <xf numFmtId="0" fontId="0" fillId="6" borderId="68" xfId="0" applyFill="1" applyBorder="1" applyAlignment="1">
      <alignment horizontal="center"/>
    </xf>
    <xf numFmtId="0" fontId="0" fillId="6" borderId="69" xfId="0" applyFill="1" applyBorder="1" applyAlignment="1">
      <alignment horizontal="center"/>
    </xf>
    <xf numFmtId="0" fontId="0" fillId="6" borderId="29" xfId="0" applyFill="1" applyBorder="1" applyAlignment="1">
      <alignment horizontal="center"/>
    </xf>
    <xf numFmtId="0" fontId="0" fillId="6" borderId="70" xfId="0" applyFill="1" applyBorder="1" applyAlignment="1">
      <alignment horizontal="center"/>
    </xf>
    <xf numFmtId="0" fontId="0" fillId="6" borderId="71" xfId="0" applyFill="1" applyBorder="1" applyAlignment="1">
      <alignment horizontal="center"/>
    </xf>
    <xf numFmtId="0" fontId="0" fillId="6" borderId="72" xfId="0" applyFill="1" applyBorder="1" applyAlignment="1">
      <alignment horizontal="center"/>
    </xf>
    <xf numFmtId="0" fontId="8" fillId="6" borderId="39" xfId="0" applyFont="1" applyFill="1" applyBorder="1" applyAlignment="1">
      <alignment horizontal="left" vertical="center"/>
    </xf>
    <xf numFmtId="171" fontId="11" fillId="0" borderId="43" xfId="1" applyNumberFormat="1" applyFont="1" applyFill="1" applyBorder="1" applyAlignment="1">
      <alignment vertical="center"/>
    </xf>
    <xf numFmtId="38" fontId="7" fillId="0" borderId="73" xfId="0" applyNumberFormat="1" applyFont="1" applyFill="1" applyBorder="1" applyAlignment="1">
      <alignment horizontal="center" vertical="center"/>
    </xf>
    <xf numFmtId="9" fontId="9" fillId="5" borderId="50" xfId="0" applyNumberFormat="1" applyFont="1" applyFill="1" applyBorder="1" applyAlignment="1">
      <alignment vertical="center"/>
    </xf>
    <xf numFmtId="9" fontId="9" fillId="5" borderId="51" xfId="0" applyNumberFormat="1" applyFont="1" applyFill="1" applyBorder="1" applyAlignment="1">
      <alignment vertical="center"/>
    </xf>
    <xf numFmtId="171" fontId="11" fillId="6" borderId="44" xfId="0" applyNumberFormat="1" applyFont="1" applyFill="1" applyBorder="1" applyAlignment="1">
      <alignment vertical="center"/>
    </xf>
    <xf numFmtId="9" fontId="9" fillId="5" borderId="49" xfId="0" applyNumberFormat="1" applyFont="1" applyFill="1" applyBorder="1" applyAlignment="1">
      <alignment vertical="center"/>
    </xf>
    <xf numFmtId="38" fontId="7" fillId="0" borderId="19" xfId="0" applyNumberFormat="1" applyFont="1" applyFill="1" applyBorder="1" applyAlignment="1">
      <alignment horizontal="center" vertical="center"/>
    </xf>
    <xf numFmtId="171" fontId="11" fillId="0" borderId="74" xfId="1" applyNumberFormat="1" applyFont="1" applyFill="1" applyBorder="1" applyAlignment="1">
      <alignment vertical="center"/>
    </xf>
    <xf numFmtId="9" fontId="8" fillId="5" borderId="75" xfId="0" applyNumberFormat="1" applyFont="1" applyFill="1" applyBorder="1" applyAlignment="1">
      <alignment vertical="center"/>
    </xf>
    <xf numFmtId="171" fontId="11" fillId="0" borderId="76" xfId="1" applyNumberFormat="1" applyFont="1" applyFill="1" applyBorder="1" applyAlignment="1">
      <alignment vertical="center"/>
    </xf>
    <xf numFmtId="168" fontId="14" fillId="0" borderId="0" xfId="0" applyNumberFormat="1" applyFont="1" applyFill="1" applyAlignment="1">
      <alignment vertical="center"/>
    </xf>
    <xf numFmtId="1" fontId="7" fillId="0" borderId="60" xfId="0" applyNumberFormat="1" applyFont="1" applyFill="1" applyBorder="1" applyAlignment="1">
      <alignment horizontal="center" vertical="center"/>
    </xf>
    <xf numFmtId="2" fontId="7" fillId="0" borderId="2" xfId="0" applyNumberFormat="1" applyFont="1" applyFill="1" applyBorder="1" applyAlignment="1">
      <alignment horizontal="center" vertical="center"/>
    </xf>
    <xf numFmtId="9" fontId="11" fillId="0" borderId="43" xfId="1" applyNumberFormat="1" applyFont="1" applyFill="1" applyBorder="1" applyAlignment="1">
      <alignment vertical="center"/>
    </xf>
    <xf numFmtId="9" fontId="11" fillId="6" borderId="58" xfId="0" applyNumberFormat="1" applyFont="1" applyFill="1" applyBorder="1" applyAlignment="1">
      <alignment vertical="center"/>
    </xf>
    <xf numFmtId="38" fontId="7" fillId="7" borderId="73" xfId="0" applyNumberFormat="1" applyFont="1" applyFill="1" applyBorder="1" applyAlignment="1">
      <alignment horizontal="center" vertical="center"/>
    </xf>
    <xf numFmtId="38" fontId="3" fillId="0" borderId="0" xfId="0" applyNumberFormat="1" applyFont="1" applyFill="1" applyBorder="1" applyAlignment="1">
      <alignment horizontal="right" vertical="center"/>
    </xf>
    <xf numFmtId="38" fontId="7" fillId="7" borderId="25" xfId="0" applyNumberFormat="1" applyFont="1" applyFill="1" applyBorder="1" applyAlignment="1">
      <alignment horizontal="right" vertical="center"/>
    </xf>
    <xf numFmtId="0" fontId="0" fillId="6" borderId="0" xfId="0" applyFill="1" applyBorder="1" applyAlignment="1"/>
    <xf numFmtId="0" fontId="0" fillId="6" borderId="29" xfId="0" applyFill="1" applyBorder="1" applyAlignment="1"/>
    <xf numFmtId="0" fontId="0" fillId="9" borderId="78" xfId="0" applyFill="1" applyBorder="1" applyAlignment="1">
      <alignment horizontal="right"/>
    </xf>
    <xf numFmtId="0" fontId="0" fillId="6" borderId="0" xfId="0" applyFill="1" applyBorder="1" applyAlignment="1">
      <alignment horizontal="right"/>
    </xf>
    <xf numFmtId="17" fontId="3" fillId="3" borderId="27" xfId="0" applyNumberFormat="1" applyFont="1" applyFill="1" applyBorder="1" applyAlignment="1">
      <alignment horizontal="center" vertical="center" wrapText="1"/>
    </xf>
    <xf numFmtId="17" fontId="3" fillId="3" borderId="46" xfId="0" applyNumberFormat="1" applyFont="1" applyFill="1" applyBorder="1" applyAlignment="1">
      <alignment horizontal="center" vertical="center" wrapText="1"/>
    </xf>
    <xf numFmtId="0" fontId="0" fillId="6" borderId="56" xfId="0" applyFill="1" applyBorder="1" applyAlignment="1">
      <alignment horizontal="right"/>
    </xf>
    <xf numFmtId="165" fontId="0" fillId="0" borderId="0" xfId="0" applyNumberFormat="1"/>
    <xf numFmtId="38" fontId="0" fillId="0" borderId="0" xfId="0" applyNumberFormat="1"/>
    <xf numFmtId="0" fontId="1" fillId="0" borderId="0" xfId="0" applyFont="1" applyAlignment="1">
      <alignment horizontal="left" vertical="center"/>
    </xf>
    <xf numFmtId="164" fontId="1" fillId="0" borderId="0" xfId="0" applyNumberFormat="1" applyFont="1" applyAlignment="1">
      <alignment horizontal="left" vertical="center"/>
    </xf>
    <xf numFmtId="9" fontId="2" fillId="0" borderId="0" xfId="1" applyFont="1" applyAlignment="1">
      <alignment vertical="center"/>
    </xf>
    <xf numFmtId="172" fontId="2" fillId="6" borderId="40" xfId="0" applyNumberFormat="1" applyFont="1" applyFill="1" applyBorder="1" applyAlignment="1">
      <alignment horizontal="left" vertical="center"/>
    </xf>
    <xf numFmtId="171" fontId="11" fillId="0" borderId="16" xfId="1" applyNumberFormat="1" applyFont="1" applyFill="1" applyBorder="1" applyAlignment="1">
      <alignment vertical="center"/>
    </xf>
    <xf numFmtId="167" fontId="2" fillId="0" borderId="1" xfId="2" applyNumberFormat="1" applyFont="1" applyFill="1" applyBorder="1" applyAlignment="1">
      <alignment horizontal="left" vertical="center"/>
    </xf>
    <xf numFmtId="0" fontId="4" fillId="0" borderId="0" xfId="0" applyFont="1" applyAlignment="1">
      <alignment vertical="center"/>
    </xf>
    <xf numFmtId="1" fontId="7" fillId="0" borderId="3" xfId="0" applyNumberFormat="1" applyFont="1" applyFill="1" applyBorder="1" applyAlignment="1">
      <alignment horizontal="center" vertical="center"/>
    </xf>
    <xf numFmtId="0" fontId="4" fillId="0" borderId="1" xfId="0" applyFont="1" applyBorder="1" applyAlignment="1">
      <alignment horizontal="center" vertical="center"/>
    </xf>
    <xf numFmtId="167" fontId="2" fillId="0" borderId="1" xfId="2" applyFont="1" applyBorder="1" applyAlignment="1">
      <alignment horizontal="center" vertical="center"/>
    </xf>
    <xf numFmtId="0" fontId="1" fillId="0" borderId="1" xfId="0" applyFont="1" applyBorder="1" applyAlignment="1">
      <alignment horizontal="left" vertical="center"/>
    </xf>
    <xf numFmtId="0" fontId="2" fillId="0" borderId="2" xfId="0" applyFont="1" applyBorder="1" applyAlignment="1">
      <alignment horizontal="center" vertical="center"/>
    </xf>
    <xf numFmtId="9" fontId="2" fillId="0" borderId="1" xfId="1" applyFont="1" applyBorder="1" applyAlignment="1">
      <alignment horizontal="right" vertical="center"/>
    </xf>
    <xf numFmtId="167" fontId="4" fillId="0" borderId="1" xfId="2" applyFont="1" applyBorder="1" applyAlignment="1">
      <alignment horizontal="center" vertical="center"/>
    </xf>
    <xf numFmtId="10" fontId="2" fillId="0" borderId="1" xfId="1" applyNumberFormat="1" applyFont="1" applyBorder="1" applyAlignment="1">
      <alignment horizontal="right" vertical="center"/>
    </xf>
    <xf numFmtId="0" fontId="4" fillId="0" borderId="1" xfId="0" applyFont="1" applyBorder="1" applyAlignment="1">
      <alignment horizontal="left" vertical="center"/>
    </xf>
    <xf numFmtId="167" fontId="4" fillId="0" borderId="1" xfId="2" applyNumberFormat="1" applyFont="1" applyBorder="1" applyAlignment="1">
      <alignment horizontal="center" vertical="center"/>
    </xf>
    <xf numFmtId="167" fontId="2" fillId="0" borderId="1" xfId="2" applyNumberFormat="1" applyFont="1" applyBorder="1" applyAlignment="1">
      <alignment horizontal="center" vertical="center"/>
    </xf>
    <xf numFmtId="17" fontId="3" fillId="3" borderId="1" xfId="0" applyNumberFormat="1" applyFont="1" applyFill="1" applyBorder="1" applyAlignment="1">
      <alignment horizontal="center" vertical="center" wrapText="1"/>
    </xf>
    <xf numFmtId="38" fontId="2" fillId="0" borderId="12" xfId="0" applyNumberFormat="1" applyFont="1" applyBorder="1" applyAlignment="1">
      <alignment vertical="center"/>
    </xf>
    <xf numFmtId="0" fontId="2" fillId="0" borderId="12" xfId="0" applyFont="1" applyBorder="1" applyAlignment="1">
      <alignment vertical="center"/>
    </xf>
    <xf numFmtId="38" fontId="2" fillId="0" borderId="92" xfId="0" applyNumberFormat="1" applyFont="1" applyBorder="1" applyAlignment="1">
      <alignment vertical="center"/>
    </xf>
    <xf numFmtId="38" fontId="2" fillId="0" borderId="98" xfId="0" applyNumberFormat="1" applyFont="1" applyBorder="1" applyAlignment="1">
      <alignment vertical="center"/>
    </xf>
    <xf numFmtId="0" fontId="1" fillId="0" borderId="0" xfId="0" applyFont="1" applyBorder="1" applyAlignment="1">
      <alignment horizontal="left" vertical="center"/>
    </xf>
    <xf numFmtId="10" fontId="2" fillId="0" borderId="0" xfId="1" applyNumberFormat="1" applyFont="1" applyBorder="1" applyAlignment="1">
      <alignment horizontal="right" vertical="center"/>
    </xf>
    <xf numFmtId="170" fontId="2" fillId="0" borderId="0" xfId="2" applyNumberFormat="1" applyFont="1" applyBorder="1" applyAlignment="1">
      <alignment horizontal="left" vertical="center"/>
    </xf>
    <xf numFmtId="0" fontId="4" fillId="0" borderId="1" xfId="0" applyFont="1" applyBorder="1" applyAlignment="1">
      <alignment horizontal="center" vertical="center"/>
    </xf>
    <xf numFmtId="167" fontId="2" fillId="0" borderId="1" xfId="2" applyFont="1" applyBorder="1" applyAlignment="1">
      <alignment horizontal="center" vertical="center"/>
    </xf>
    <xf numFmtId="9" fontId="2" fillId="0" borderId="1" xfId="1" applyFont="1" applyBorder="1" applyAlignment="1">
      <alignment horizontal="right" vertical="center"/>
    </xf>
    <xf numFmtId="167" fontId="4" fillId="0" borderId="1" xfId="2" applyFont="1" applyBorder="1" applyAlignment="1">
      <alignment horizontal="center" vertical="center"/>
    </xf>
    <xf numFmtId="0" fontId="1" fillId="0" borderId="1" xfId="0" applyFont="1" applyBorder="1" applyAlignment="1">
      <alignment horizontal="left" vertical="center"/>
    </xf>
    <xf numFmtId="10" fontId="2" fillId="0" borderId="1" xfId="1" applyNumberFormat="1" applyFont="1" applyBorder="1" applyAlignment="1">
      <alignment horizontal="right" vertical="center"/>
    </xf>
    <xf numFmtId="0" fontId="2" fillId="0" borderId="2" xfId="0" applyFont="1" applyBorder="1" applyAlignment="1">
      <alignment horizontal="center" vertical="center"/>
    </xf>
    <xf numFmtId="167" fontId="2" fillId="0" borderId="1" xfId="2" applyNumberFormat="1" applyFont="1" applyBorder="1" applyAlignment="1">
      <alignment horizontal="center" vertical="center"/>
    </xf>
    <xf numFmtId="0" fontId="4" fillId="0" borderId="1" xfId="0" applyFont="1" applyBorder="1" applyAlignment="1">
      <alignment horizontal="left" vertical="center"/>
    </xf>
    <xf numFmtId="167" fontId="4" fillId="0" borderId="1" xfId="2" applyNumberFormat="1" applyFont="1" applyBorder="1" applyAlignment="1">
      <alignment horizontal="center" vertical="center"/>
    </xf>
    <xf numFmtId="167" fontId="3" fillId="3" borderId="1" xfId="2" applyFont="1" applyFill="1" applyBorder="1" applyAlignment="1">
      <alignment horizontal="center" vertical="center" wrapText="1"/>
    </xf>
    <xf numFmtId="0" fontId="0" fillId="0" borderId="0" xfId="0" applyBorder="1"/>
    <xf numFmtId="0" fontId="0" fillId="0" borderId="64" xfId="0" applyBorder="1"/>
    <xf numFmtId="0" fontId="0" fillId="0" borderId="10" xfId="0" applyBorder="1"/>
    <xf numFmtId="0" fontId="0" fillId="0" borderId="62" xfId="0" applyBorder="1"/>
    <xf numFmtId="167" fontId="2" fillId="0" borderId="1" xfId="2" applyFont="1" applyBorder="1" applyAlignment="1">
      <alignment horizontal="center" vertical="center"/>
    </xf>
    <xf numFmtId="0" fontId="15" fillId="0" borderId="28" xfId="0" applyFont="1" applyBorder="1"/>
    <xf numFmtId="0" fontId="16" fillId="0" borderId="29" xfId="0" applyFont="1" applyBorder="1"/>
    <xf numFmtId="0" fontId="16" fillId="0" borderId="56" xfId="0" applyFont="1" applyBorder="1"/>
    <xf numFmtId="0" fontId="15" fillId="0" borderId="63" xfId="0" applyFont="1" applyBorder="1"/>
    <xf numFmtId="0" fontId="16" fillId="0" borderId="0" xfId="0" applyFont="1" applyBorder="1"/>
    <xf numFmtId="0" fontId="16" fillId="0" borderId="34" xfId="0" applyFont="1" applyBorder="1"/>
    <xf numFmtId="0" fontId="15" fillId="0" borderId="63" xfId="0" applyFont="1" applyBorder="1" applyAlignment="1">
      <alignment vertical="center"/>
    </xf>
    <xf numFmtId="0" fontId="16" fillId="0" borderId="0" xfId="0" applyFont="1" applyBorder="1" applyAlignment="1">
      <alignment vertical="center"/>
    </xf>
    <xf numFmtId="0" fontId="16" fillId="0" borderId="63" xfId="0" applyFont="1" applyBorder="1"/>
    <xf numFmtId="0" fontId="19" fillId="0" borderId="0" xfId="0" applyFont="1" applyFill="1" applyAlignment="1">
      <alignment vertical="center"/>
    </xf>
    <xf numFmtId="0" fontId="19" fillId="0" borderId="0" xfId="0" applyFont="1" applyAlignment="1">
      <alignment vertical="center"/>
    </xf>
    <xf numFmtId="0" fontId="15" fillId="0" borderId="0" xfId="0" applyFont="1" applyBorder="1"/>
    <xf numFmtId="10" fontId="16" fillId="0" borderId="96" xfId="1" applyNumberFormat="1" applyFont="1" applyBorder="1" applyAlignment="1">
      <alignment horizontal="right" vertical="center"/>
    </xf>
    <xf numFmtId="10" fontId="16" fillId="0" borderId="86" xfId="1" applyNumberFormat="1" applyFont="1" applyBorder="1" applyAlignment="1">
      <alignment horizontal="right" vertical="center"/>
    </xf>
    <xf numFmtId="10" fontId="16" fillId="0" borderId="87" xfId="1" applyNumberFormat="1" applyFont="1" applyBorder="1" applyAlignment="1">
      <alignment horizontal="right" vertical="center"/>
    </xf>
    <xf numFmtId="0" fontId="15" fillId="0" borderId="90" xfId="0" applyFont="1" applyBorder="1" applyAlignment="1">
      <alignment horizontal="center" vertical="center"/>
    </xf>
    <xf numFmtId="0" fontId="15" fillId="0" borderId="88" xfId="0" applyFont="1" applyBorder="1" applyAlignment="1">
      <alignment horizontal="center" vertical="center"/>
    </xf>
    <xf numFmtId="0" fontId="15" fillId="0" borderId="89" xfId="0" applyFont="1" applyBorder="1" applyAlignment="1">
      <alignment horizontal="center" vertical="center"/>
    </xf>
    <xf numFmtId="167" fontId="16" fillId="0" borderId="82" xfId="2" applyFont="1" applyBorder="1" applyAlignment="1">
      <alignment horizontal="center" vertical="center"/>
    </xf>
    <xf numFmtId="167" fontId="16" fillId="0" borderId="83" xfId="2" applyFont="1" applyBorder="1" applyAlignment="1">
      <alignment horizontal="center" vertical="center"/>
    </xf>
    <xf numFmtId="167" fontId="16" fillId="0" borderId="84" xfId="2" applyFont="1" applyBorder="1" applyAlignment="1">
      <alignment horizontal="center" vertical="center"/>
    </xf>
    <xf numFmtId="167" fontId="16" fillId="0" borderId="49" xfId="2" applyFont="1" applyBorder="1" applyAlignment="1">
      <alignment horizontal="center" vertical="center"/>
    </xf>
    <xf numFmtId="167" fontId="16" fillId="0" borderId="50" xfId="2" applyFont="1" applyBorder="1" applyAlignment="1">
      <alignment horizontal="center" vertical="center"/>
    </xf>
    <xf numFmtId="167" fontId="16" fillId="0" borderId="51" xfId="2" applyFont="1" applyBorder="1" applyAlignment="1">
      <alignment horizontal="center" vertical="center"/>
    </xf>
    <xf numFmtId="167" fontId="16" fillId="0" borderId="94" xfId="2" applyFont="1" applyBorder="1" applyAlignment="1">
      <alignment horizontal="center" vertical="center"/>
    </xf>
    <xf numFmtId="167" fontId="16" fillId="0" borderId="92" xfId="2" applyFont="1" applyBorder="1" applyAlignment="1">
      <alignment horizontal="center" vertical="center"/>
    </xf>
    <xf numFmtId="167" fontId="16" fillId="0" borderId="93" xfId="2" applyFont="1" applyBorder="1" applyAlignment="1">
      <alignment horizontal="center" vertical="center"/>
    </xf>
    <xf numFmtId="167" fontId="15" fillId="17" borderId="4" xfId="2" applyFont="1" applyFill="1" applyBorder="1" applyAlignment="1">
      <alignment horizontal="center" vertical="center"/>
    </xf>
    <xf numFmtId="167" fontId="15" fillId="17" borderId="1" xfId="2" applyFont="1" applyFill="1" applyBorder="1" applyAlignment="1">
      <alignment horizontal="center" vertical="center"/>
    </xf>
    <xf numFmtId="167" fontId="15" fillId="17" borderId="7" xfId="2" applyFont="1" applyFill="1" applyBorder="1" applyAlignment="1">
      <alignment horizontal="center" vertical="center"/>
    </xf>
    <xf numFmtId="167" fontId="16" fillId="0" borderId="13" xfId="2" applyFont="1" applyBorder="1" applyAlignment="1">
      <alignment horizontal="center" vertical="center"/>
    </xf>
    <xf numFmtId="167" fontId="16" fillId="0" borderId="12" xfId="2" applyFont="1" applyBorder="1" applyAlignment="1">
      <alignment horizontal="center" vertical="center"/>
    </xf>
    <xf numFmtId="167" fontId="16" fillId="0" borderId="14" xfId="2" applyFont="1" applyBorder="1" applyAlignment="1">
      <alignment horizontal="center" vertical="center"/>
    </xf>
    <xf numFmtId="167" fontId="16" fillId="0" borderId="96" xfId="2" applyFont="1" applyBorder="1" applyAlignment="1">
      <alignment horizontal="center" vertical="center"/>
    </xf>
    <xf numFmtId="167" fontId="16" fillId="0" borderId="86" xfId="2" applyFont="1" applyBorder="1" applyAlignment="1">
      <alignment horizontal="center" vertical="center"/>
    </xf>
    <xf numFmtId="167" fontId="16" fillId="0" borderId="91" xfId="2" applyFont="1" applyBorder="1" applyAlignment="1">
      <alignment horizontal="center" vertical="center"/>
    </xf>
    <xf numFmtId="167" fontId="16" fillId="0" borderId="87" xfId="2" applyFont="1" applyBorder="1" applyAlignment="1">
      <alignment horizontal="center" vertical="center"/>
    </xf>
    <xf numFmtId="10" fontId="16" fillId="0" borderId="49" xfId="1" applyNumberFormat="1" applyFont="1" applyBorder="1" applyAlignment="1">
      <alignment horizontal="right" vertical="center"/>
    </xf>
    <xf numFmtId="10" fontId="16" fillId="0" borderId="50" xfId="1" applyNumberFormat="1" applyFont="1" applyBorder="1" applyAlignment="1">
      <alignment horizontal="right" vertical="center"/>
    </xf>
    <xf numFmtId="10" fontId="16" fillId="0" borderId="51" xfId="1" applyNumberFormat="1" applyFont="1" applyBorder="1" applyAlignment="1">
      <alignment horizontal="right" vertical="center"/>
    </xf>
    <xf numFmtId="0" fontId="15" fillId="0" borderId="77" xfId="0" applyFont="1" applyBorder="1" applyAlignment="1">
      <alignment horizontal="center" vertical="center"/>
    </xf>
    <xf numFmtId="167" fontId="16" fillId="0" borderId="52" xfId="2" applyFont="1" applyBorder="1" applyAlignment="1">
      <alignment horizontal="center" vertical="center"/>
    </xf>
    <xf numFmtId="167" fontId="15" fillId="16" borderId="22" xfId="2" applyFont="1" applyFill="1" applyBorder="1" applyAlignment="1">
      <alignment horizontal="center" vertical="center"/>
    </xf>
    <xf numFmtId="167" fontId="15" fillId="16" borderId="23" xfId="2" applyFont="1" applyFill="1" applyBorder="1" applyAlignment="1">
      <alignment horizontal="center" vertical="center"/>
    </xf>
    <xf numFmtId="167" fontId="15" fillId="16" borderId="24" xfId="2" applyFont="1" applyFill="1" applyBorder="1" applyAlignment="1">
      <alignment horizontal="center" vertical="center"/>
    </xf>
    <xf numFmtId="10" fontId="16" fillId="0" borderId="97" xfId="1" applyNumberFormat="1" applyFont="1" applyBorder="1" applyAlignment="1">
      <alignment horizontal="right" vertical="center"/>
    </xf>
    <xf numFmtId="10" fontId="16" fillId="0" borderId="85" xfId="1" applyNumberFormat="1" applyFont="1" applyBorder="1" applyAlignment="1">
      <alignment horizontal="right" vertical="center"/>
    </xf>
    <xf numFmtId="167" fontId="15" fillId="17" borderId="6" xfId="2" applyFont="1" applyFill="1" applyBorder="1" applyAlignment="1">
      <alignment horizontal="center" vertical="center"/>
    </xf>
    <xf numFmtId="167" fontId="16" fillId="0" borderId="11" xfId="2" applyFont="1" applyBorder="1" applyAlignment="1">
      <alignment horizontal="center" vertical="center"/>
    </xf>
    <xf numFmtId="167" fontId="16" fillId="6" borderId="85" xfId="2" applyFont="1" applyFill="1" applyBorder="1" applyAlignment="1">
      <alignment horizontal="center" vertical="center"/>
    </xf>
    <xf numFmtId="167" fontId="16" fillId="6" borderId="86" xfId="2" applyFont="1" applyFill="1" applyBorder="1" applyAlignment="1">
      <alignment horizontal="center" vertical="center"/>
    </xf>
    <xf numFmtId="167" fontId="15" fillId="16" borderId="21" xfId="2" applyFont="1" applyFill="1" applyBorder="1" applyAlignment="1">
      <alignment horizontal="center" vertical="center"/>
    </xf>
    <xf numFmtId="10" fontId="16" fillId="0" borderId="52" xfId="1" applyNumberFormat="1" applyFont="1" applyBorder="1" applyAlignment="1">
      <alignment horizontal="right" vertical="center"/>
    </xf>
    <xf numFmtId="167" fontId="15" fillId="16" borderId="73" xfId="2" applyFont="1" applyFill="1" applyBorder="1" applyAlignment="1">
      <alignment horizontal="center" vertical="center"/>
    </xf>
    <xf numFmtId="10" fontId="16" fillId="0" borderId="53" xfId="1" applyNumberFormat="1" applyFont="1" applyBorder="1" applyAlignment="1">
      <alignment horizontal="right" vertical="center"/>
    </xf>
    <xf numFmtId="0" fontId="16" fillId="0" borderId="86" xfId="0" applyFont="1" applyBorder="1" applyAlignment="1">
      <alignment horizontal="left" vertical="center"/>
    </xf>
    <xf numFmtId="0" fontId="16" fillId="0" borderId="87" xfId="0" applyFont="1" applyBorder="1" applyAlignment="1">
      <alignment horizontal="left" vertical="center"/>
    </xf>
    <xf numFmtId="0" fontId="15" fillId="16" borderId="23" xfId="0" applyFont="1" applyFill="1" applyBorder="1" applyAlignment="1">
      <alignment horizontal="left" vertical="center"/>
    </xf>
    <xf numFmtId="0" fontId="15" fillId="16" borderId="24" xfId="0" applyFont="1" applyFill="1" applyBorder="1" applyAlignment="1">
      <alignment horizontal="left" vertical="center"/>
    </xf>
    <xf numFmtId="0" fontId="16" fillId="0" borderId="50" xfId="0" applyFont="1" applyBorder="1" applyAlignment="1">
      <alignment horizontal="left" vertical="center" wrapText="1"/>
    </xf>
    <xf numFmtId="0" fontId="16" fillId="0" borderId="51" xfId="0" applyFont="1" applyBorder="1" applyAlignment="1">
      <alignment horizontal="left" vertical="center" wrapText="1"/>
    </xf>
    <xf numFmtId="0" fontId="15" fillId="0" borderId="81" xfId="0" applyFont="1" applyBorder="1" applyAlignment="1">
      <alignment horizontal="center" vertical="center"/>
    </xf>
    <xf numFmtId="167" fontId="16" fillId="0" borderId="53" xfId="2" applyFont="1" applyBorder="1" applyAlignment="1">
      <alignment horizontal="center" vertical="center"/>
    </xf>
    <xf numFmtId="167" fontId="16" fillId="0" borderId="97" xfId="2" applyFont="1" applyBorder="1" applyAlignment="1">
      <alignment horizontal="center" vertical="center"/>
    </xf>
    <xf numFmtId="167" fontId="16" fillId="0" borderId="95" xfId="2" applyFont="1" applyBorder="1" applyAlignment="1">
      <alignment horizontal="center" vertical="center"/>
    </xf>
    <xf numFmtId="167" fontId="15" fillId="17" borderId="2" xfId="2" applyFont="1" applyFill="1" applyBorder="1" applyAlignment="1">
      <alignment horizontal="center" vertical="center"/>
    </xf>
    <xf numFmtId="167" fontId="16" fillId="0" borderId="32" xfId="2" applyFont="1" applyBorder="1" applyAlignment="1">
      <alignment horizontal="center" vertical="center"/>
    </xf>
    <xf numFmtId="0" fontId="15" fillId="0" borderId="0" xfId="0" applyFont="1" applyBorder="1" applyAlignment="1">
      <alignment horizontal="center"/>
    </xf>
    <xf numFmtId="0" fontId="15" fillId="0" borderId="34" xfId="0" applyFont="1" applyBorder="1" applyAlignment="1">
      <alignment horizontal="center"/>
    </xf>
    <xf numFmtId="0" fontId="16" fillId="0" borderId="50" xfId="0" applyFont="1" applyBorder="1" applyAlignment="1">
      <alignment horizontal="left" vertical="center"/>
    </xf>
    <xf numFmtId="0" fontId="16" fillId="0" borderId="51" xfId="0" applyFont="1" applyBorder="1" applyAlignment="1">
      <alignment horizontal="left" vertical="center"/>
    </xf>
    <xf numFmtId="0" fontId="16" fillId="0" borderId="63" xfId="0" applyFont="1" applyBorder="1" applyAlignment="1">
      <alignment horizontal="left" vertical="top" wrapText="1"/>
    </xf>
    <xf numFmtId="0" fontId="16" fillId="0" borderId="0" xfId="0" applyFont="1" applyBorder="1" applyAlignment="1">
      <alignment horizontal="left" vertical="top" wrapText="1"/>
    </xf>
    <xf numFmtId="0" fontId="16" fillId="0" borderId="92" xfId="0" applyFont="1" applyBorder="1" applyAlignment="1">
      <alignment horizontal="left" vertical="center"/>
    </xf>
    <xf numFmtId="0" fontId="16" fillId="0" borderId="93" xfId="0" applyFont="1" applyBorder="1" applyAlignment="1">
      <alignment horizontal="left" vertical="center"/>
    </xf>
    <xf numFmtId="0" fontId="15" fillId="17" borderId="1" xfId="0" applyFont="1" applyFill="1" applyBorder="1" applyAlignment="1">
      <alignment horizontal="left" vertical="center"/>
    </xf>
    <xf numFmtId="0" fontId="15" fillId="17" borderId="7" xfId="0" applyFont="1" applyFill="1" applyBorder="1" applyAlignment="1">
      <alignment horizontal="left" vertical="center"/>
    </xf>
    <xf numFmtId="0" fontId="16" fillId="0" borderId="12" xfId="0" applyFont="1" applyBorder="1" applyAlignment="1">
      <alignment horizontal="left" vertical="center"/>
    </xf>
    <xf numFmtId="0" fontId="16" fillId="0" borderId="14" xfId="0" applyFont="1" applyBorder="1" applyAlignment="1">
      <alignment horizontal="left" vertical="center"/>
    </xf>
    <xf numFmtId="167" fontId="16" fillId="0" borderId="85" xfId="2" applyFont="1" applyBorder="1" applyAlignment="1">
      <alignment horizontal="center" vertical="center"/>
    </xf>
    <xf numFmtId="0" fontId="18" fillId="0" borderId="10" xfId="0" applyFont="1" applyBorder="1" applyAlignment="1">
      <alignment horizontal="center" vertical="center"/>
    </xf>
    <xf numFmtId="0" fontId="17" fillId="0" borderId="10" xfId="0" applyFont="1" applyBorder="1" applyAlignment="1">
      <alignment horizontal="center" vertical="center"/>
    </xf>
    <xf numFmtId="0" fontId="1" fillId="0" borderId="0" xfId="0" applyFont="1" applyAlignment="1">
      <alignment horizontal="center" vertical="center"/>
    </xf>
    <xf numFmtId="167" fontId="2" fillId="0" borderId="0" xfId="2" applyFont="1" applyAlignment="1">
      <alignment horizontal="center" vertical="center"/>
    </xf>
    <xf numFmtId="10" fontId="2" fillId="0" borderId="1" xfId="1" applyNumberFormat="1" applyFont="1" applyBorder="1" applyAlignment="1">
      <alignment horizontal="right" vertical="center"/>
    </xf>
    <xf numFmtId="0" fontId="1" fillId="0" borderId="1" xfId="0" applyFont="1" applyBorder="1" applyAlignment="1">
      <alignment horizontal="left" vertical="center"/>
    </xf>
    <xf numFmtId="0" fontId="1" fillId="0" borderId="12" xfId="0" applyFont="1" applyBorder="1" applyAlignment="1">
      <alignment horizontal="left" vertical="center"/>
    </xf>
    <xf numFmtId="0" fontId="1" fillId="0" borderId="98" xfId="0" applyFont="1" applyBorder="1" applyAlignment="1">
      <alignment horizontal="left" vertical="center" wrapText="1"/>
    </xf>
    <xf numFmtId="0" fontId="1" fillId="0" borderId="92" xfId="0" applyFont="1" applyBorder="1" applyAlignment="1">
      <alignment horizontal="left" vertical="center" wrapText="1"/>
    </xf>
    <xf numFmtId="0" fontId="2" fillId="3" borderId="1" xfId="0" applyFont="1" applyFill="1" applyBorder="1" applyAlignment="1">
      <alignment horizontal="left" vertical="center"/>
    </xf>
    <xf numFmtId="9" fontId="2" fillId="0" borderId="1" xfId="1" applyFont="1" applyBorder="1" applyAlignment="1">
      <alignment horizontal="right" vertical="center"/>
    </xf>
    <xf numFmtId="167" fontId="4" fillId="0" borderId="1" xfId="2" applyFont="1" applyBorder="1" applyAlignment="1">
      <alignment horizontal="center" vertical="center"/>
    </xf>
    <xf numFmtId="167" fontId="2" fillId="0" borderId="1" xfId="2" applyFont="1" applyBorder="1" applyAlignment="1">
      <alignment horizontal="center" vertical="center"/>
    </xf>
    <xf numFmtId="0" fontId="1" fillId="0" borderId="1" xfId="0" applyFont="1" applyBorder="1" applyAlignment="1">
      <alignment horizontal="left" vertical="center" indent="2"/>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170" fontId="2" fillId="0" borderId="2" xfId="2" applyNumberFormat="1" applyFont="1" applyBorder="1" applyAlignment="1">
      <alignment horizontal="left" vertical="center"/>
    </xf>
    <xf numFmtId="170" fontId="2" fillId="0" borderId="4" xfId="2" applyNumberFormat="1" applyFont="1" applyBorder="1" applyAlignment="1">
      <alignment horizontal="left" vertical="center"/>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1" fontId="7" fillId="0" borderId="59" xfId="0" applyNumberFormat="1" applyFont="1" applyFill="1" applyBorder="1" applyAlignment="1">
      <alignment horizontal="center" vertical="center"/>
    </xf>
    <xf numFmtId="1" fontId="7" fillId="0" borderId="60" xfId="0" applyNumberFormat="1" applyFont="1" applyFill="1" applyBorder="1" applyAlignment="1">
      <alignment horizontal="center" vertical="center"/>
    </xf>
    <xf numFmtId="1" fontId="7" fillId="0" borderId="61" xfId="0" applyNumberFormat="1" applyFont="1" applyFill="1" applyBorder="1" applyAlignment="1">
      <alignment horizontal="center" vertical="center"/>
    </xf>
    <xf numFmtId="0" fontId="0" fillId="11" borderId="64" xfId="0" applyFill="1" applyBorder="1" applyAlignment="1">
      <alignment horizontal="center"/>
    </xf>
    <xf numFmtId="0" fontId="0" fillId="11" borderId="10" xfId="0" applyFill="1" applyBorder="1" applyAlignment="1">
      <alignment horizontal="center"/>
    </xf>
    <xf numFmtId="0" fontId="0" fillId="11" borderId="62"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7" fillId="7" borderId="18" xfId="0" applyFont="1" applyFill="1" applyBorder="1" applyAlignment="1">
      <alignment horizontal="right" vertical="center"/>
    </xf>
    <xf numFmtId="0" fontId="7" fillId="7" borderId="19" xfId="0" applyFont="1" applyFill="1" applyBorder="1" applyAlignment="1">
      <alignment horizontal="right" vertical="center"/>
    </xf>
    <xf numFmtId="0" fontId="7" fillId="7" borderId="22" xfId="0" applyFont="1" applyFill="1" applyBorder="1" applyAlignment="1">
      <alignment horizontal="righ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0" fillId="10" borderId="2" xfId="0" applyFill="1" applyBorder="1" applyAlignment="1">
      <alignment horizontal="center"/>
    </xf>
    <xf numFmtId="0" fontId="0" fillId="10" borderId="3" xfId="0" applyFill="1" applyBorder="1" applyAlignment="1">
      <alignment horizontal="center"/>
    </xf>
    <xf numFmtId="0" fontId="0" fillId="10" borderId="56" xfId="0" applyFill="1" applyBorder="1" applyAlignment="1">
      <alignment horizontal="center"/>
    </xf>
    <xf numFmtId="0" fontId="7" fillId="6" borderId="18" xfId="0" applyFont="1" applyFill="1" applyBorder="1" applyAlignment="1">
      <alignment horizontal="right" vertical="center"/>
    </xf>
    <xf numFmtId="0" fontId="7" fillId="6" borderId="19" xfId="0" applyFont="1" applyFill="1" applyBorder="1" applyAlignment="1">
      <alignment horizontal="right" vertical="center"/>
    </xf>
    <xf numFmtId="0" fontId="7" fillId="6" borderId="22" xfId="0" applyFont="1" applyFill="1" applyBorder="1" applyAlignment="1">
      <alignment horizontal="right" vertical="center"/>
    </xf>
    <xf numFmtId="0" fontId="7" fillId="0" borderId="9" xfId="0" applyFont="1" applyFill="1" applyBorder="1" applyAlignment="1">
      <alignment horizontal="right" vertical="center"/>
    </xf>
    <xf numFmtId="0" fontId="7" fillId="0" borderId="10" xfId="0" applyFont="1" applyFill="1" applyBorder="1" applyAlignment="1">
      <alignment horizontal="right" vertical="center"/>
    </xf>
    <xf numFmtId="0" fontId="7" fillId="0" borderId="5" xfId="0" applyFont="1" applyFill="1" applyBorder="1" applyAlignment="1">
      <alignment horizontal="right" vertical="center"/>
    </xf>
    <xf numFmtId="0" fontId="7" fillId="0" borderId="3" xfId="0" applyFont="1" applyFill="1" applyBorder="1" applyAlignment="1">
      <alignment horizontal="right" vertical="center"/>
    </xf>
    <xf numFmtId="1" fontId="7" fillId="0" borderId="5" xfId="0" applyNumberFormat="1" applyFont="1" applyFill="1" applyBorder="1" applyAlignment="1">
      <alignment horizontal="center" vertical="center"/>
    </xf>
    <xf numFmtId="1" fontId="7" fillId="0" borderId="3" xfId="0" applyNumberFormat="1" applyFont="1" applyFill="1" applyBorder="1" applyAlignment="1">
      <alignment horizontal="center" vertical="center"/>
    </xf>
    <xf numFmtId="1" fontId="7" fillId="0" borderId="30" xfId="0" applyNumberFormat="1" applyFont="1" applyFill="1" applyBorder="1" applyAlignment="1">
      <alignment horizontal="center" vertical="center"/>
    </xf>
    <xf numFmtId="167" fontId="8" fillId="0" borderId="79" xfId="2" applyFont="1" applyFill="1" applyBorder="1" applyAlignment="1">
      <alignment horizontal="center" vertical="center"/>
    </xf>
    <xf numFmtId="167" fontId="8" fillId="0" borderId="80" xfId="2" applyFont="1" applyFill="1" applyBorder="1" applyAlignment="1">
      <alignment horizontal="center" vertical="center"/>
    </xf>
    <xf numFmtId="167" fontId="8" fillId="0" borderId="79" xfId="2" applyFont="1" applyFill="1" applyBorder="1" applyAlignment="1">
      <alignment horizontal="left" vertical="center"/>
    </xf>
    <xf numFmtId="167" fontId="8" fillId="0" borderId="80" xfId="2" applyFont="1" applyFill="1" applyBorder="1" applyAlignment="1">
      <alignment horizontal="left" vertical="center"/>
    </xf>
    <xf numFmtId="0" fontId="1" fillId="5" borderId="53" xfId="0" applyFont="1" applyFill="1" applyBorder="1" applyAlignment="1">
      <alignment horizontal="center" vertical="center"/>
    </xf>
    <xf numFmtId="0" fontId="2" fillId="5" borderId="54" xfId="0" applyFont="1" applyFill="1" applyBorder="1" applyAlignment="1">
      <alignment horizontal="center" vertical="center"/>
    </xf>
    <xf numFmtId="0" fontId="0" fillId="15" borderId="2" xfId="0" applyFill="1" applyBorder="1" applyAlignment="1">
      <alignment horizontal="center"/>
    </xf>
    <xf numFmtId="0" fontId="0" fillId="15" borderId="3" xfId="0" applyFill="1" applyBorder="1" applyAlignment="1">
      <alignment horizontal="center"/>
    </xf>
    <xf numFmtId="0" fontId="0" fillId="15" borderId="4" xfId="0" applyFill="1" applyBorder="1" applyAlignment="1">
      <alignment horizontal="center"/>
    </xf>
    <xf numFmtId="0" fontId="1" fillId="8" borderId="28" xfId="0" applyFont="1" applyFill="1" applyBorder="1" applyAlignment="1">
      <alignment horizontal="center" vertical="center"/>
    </xf>
    <xf numFmtId="0" fontId="1" fillId="8" borderId="29" xfId="0" applyFont="1" applyFill="1" applyBorder="1" applyAlignment="1">
      <alignment horizontal="center" vertical="center"/>
    </xf>
    <xf numFmtId="0" fontId="1" fillId="8" borderId="56" xfId="0" applyFont="1" applyFill="1" applyBorder="1" applyAlignment="1">
      <alignment horizontal="center" vertical="center"/>
    </xf>
    <xf numFmtId="0" fontId="1" fillId="8" borderId="63" xfId="0" applyFont="1" applyFill="1" applyBorder="1" applyAlignment="1">
      <alignment horizontal="center" vertical="center"/>
    </xf>
    <xf numFmtId="0" fontId="1" fillId="8" borderId="0" xfId="0" applyFont="1" applyFill="1" applyBorder="1" applyAlignment="1">
      <alignment horizontal="center" vertical="center"/>
    </xf>
    <xf numFmtId="0" fontId="1" fillId="8" borderId="34" xfId="0" applyFont="1" applyFill="1" applyBorder="1" applyAlignment="1">
      <alignment horizontal="center" vertical="center"/>
    </xf>
    <xf numFmtId="0" fontId="0" fillId="10" borderId="28" xfId="0" applyFill="1" applyBorder="1" applyAlignment="1">
      <alignment horizontal="center"/>
    </xf>
    <xf numFmtId="0" fontId="0" fillId="10" borderId="29" xfId="0" applyFill="1" applyBorder="1" applyAlignment="1">
      <alignment horizontal="center"/>
    </xf>
    <xf numFmtId="0" fontId="0" fillId="8" borderId="2" xfId="0" applyFill="1" applyBorder="1" applyAlignment="1">
      <alignment horizontal="center"/>
    </xf>
    <xf numFmtId="0" fontId="0" fillId="8" borderId="3" xfId="0" applyFill="1" applyBorder="1" applyAlignment="1">
      <alignment horizontal="center"/>
    </xf>
    <xf numFmtId="0" fontId="0" fillId="8" borderId="4" xfId="0" applyFill="1" applyBorder="1" applyAlignment="1">
      <alignment horizontal="center"/>
    </xf>
    <xf numFmtId="0" fontId="0" fillId="11" borderId="2" xfId="0" applyFill="1" applyBorder="1" applyAlignment="1">
      <alignment horizontal="center"/>
    </xf>
    <xf numFmtId="0" fontId="0" fillId="11" borderId="3" xfId="0" applyFill="1" applyBorder="1" applyAlignment="1">
      <alignment horizontal="center"/>
    </xf>
    <xf numFmtId="0" fontId="0" fillId="11" borderId="4" xfId="0" applyFill="1" applyBorder="1" applyAlignment="1">
      <alignment horizontal="center"/>
    </xf>
    <xf numFmtId="0" fontId="0" fillId="14" borderId="2" xfId="0" applyFill="1" applyBorder="1" applyAlignment="1">
      <alignment horizontal="center"/>
    </xf>
    <xf numFmtId="0" fontId="0" fillId="14" borderId="3" xfId="0" applyFill="1" applyBorder="1" applyAlignment="1">
      <alignment horizontal="center"/>
    </xf>
    <xf numFmtId="0" fontId="0" fillId="14" borderId="4" xfId="0" applyFill="1" applyBorder="1" applyAlignment="1">
      <alignment horizontal="center"/>
    </xf>
    <xf numFmtId="0" fontId="0" fillId="0" borderId="10" xfId="0" applyFill="1" applyBorder="1" applyAlignment="1">
      <alignment horizontal="center"/>
    </xf>
    <xf numFmtId="0" fontId="0" fillId="0" borderId="62" xfId="0" applyFill="1" applyBorder="1" applyAlignment="1">
      <alignment horizontal="center"/>
    </xf>
    <xf numFmtId="0" fontId="14" fillId="3" borderId="28" xfId="0" applyFont="1" applyFill="1" applyBorder="1" applyAlignment="1">
      <alignment horizontal="center" vertical="center"/>
    </xf>
    <xf numFmtId="0" fontId="14" fillId="3" borderId="56" xfId="0" applyFont="1" applyFill="1" applyBorder="1" applyAlignment="1">
      <alignment horizontal="center" vertical="center"/>
    </xf>
    <xf numFmtId="0" fontId="1" fillId="8" borderId="28" xfId="0" applyFont="1" applyFill="1" applyBorder="1" applyAlignment="1">
      <alignment horizontal="left" vertical="center"/>
    </xf>
    <xf numFmtId="0" fontId="1" fillId="8" borderId="29" xfId="0" applyFont="1" applyFill="1" applyBorder="1" applyAlignment="1">
      <alignment horizontal="left" vertical="center"/>
    </xf>
    <xf numFmtId="0" fontId="1" fillId="8" borderId="56" xfId="0" applyFont="1" applyFill="1" applyBorder="1" applyAlignment="1">
      <alignment horizontal="left" vertical="center"/>
    </xf>
    <xf numFmtId="0" fontId="1" fillId="8" borderId="63" xfId="0" applyFont="1" applyFill="1" applyBorder="1" applyAlignment="1">
      <alignment horizontal="left" vertical="center"/>
    </xf>
    <xf numFmtId="0" fontId="1" fillId="8" borderId="0" xfId="0" applyFont="1" applyFill="1" applyBorder="1" applyAlignment="1">
      <alignment horizontal="left" vertical="center"/>
    </xf>
    <xf numFmtId="0" fontId="1" fillId="8" borderId="34" xfId="0" applyFont="1" applyFill="1" applyBorder="1" applyAlignment="1">
      <alignment horizontal="left" vertical="center"/>
    </xf>
    <xf numFmtId="0" fontId="1" fillId="8" borderId="64" xfId="0" applyFont="1" applyFill="1" applyBorder="1" applyAlignment="1">
      <alignment horizontal="left" vertical="center"/>
    </xf>
    <xf numFmtId="0" fontId="1" fillId="8" borderId="10" xfId="0" applyFont="1" applyFill="1" applyBorder="1" applyAlignment="1">
      <alignment horizontal="left" vertical="center"/>
    </xf>
    <xf numFmtId="0" fontId="1" fillId="8" borderId="62" xfId="0" applyFont="1" applyFill="1" applyBorder="1" applyAlignment="1">
      <alignment horizontal="left" vertical="center"/>
    </xf>
    <xf numFmtId="0" fontId="0" fillId="8" borderId="29" xfId="0" applyFill="1" applyBorder="1" applyAlignment="1">
      <alignment horizontal="center"/>
    </xf>
    <xf numFmtId="0" fontId="0" fillId="8" borderId="56" xfId="0" applyFill="1" applyBorder="1" applyAlignment="1">
      <alignment horizontal="center"/>
    </xf>
    <xf numFmtId="0" fontId="4" fillId="0" borderId="1" xfId="0" applyFont="1" applyBorder="1" applyAlignment="1">
      <alignment horizontal="left" vertical="center"/>
    </xf>
    <xf numFmtId="0" fontId="0" fillId="9" borderId="2" xfId="0" applyFill="1" applyBorder="1" applyAlignment="1">
      <alignment horizontal="center"/>
    </xf>
    <xf numFmtId="0" fontId="0" fillId="9" borderId="3" xfId="0" applyFill="1" applyBorder="1" applyAlignment="1">
      <alignment horizontal="center"/>
    </xf>
    <xf numFmtId="0" fontId="0" fillId="9" borderId="4" xfId="0" applyFill="1" applyBorder="1" applyAlignment="1">
      <alignment horizontal="center"/>
    </xf>
    <xf numFmtId="0" fontId="0" fillId="12" borderId="64" xfId="0" applyFill="1" applyBorder="1" applyAlignment="1">
      <alignment horizontal="center"/>
    </xf>
    <xf numFmtId="0" fontId="0" fillId="12" borderId="3" xfId="0" applyFill="1" applyBorder="1" applyAlignment="1">
      <alignment horizontal="center"/>
    </xf>
    <xf numFmtId="0" fontId="0" fillId="12" borderId="4" xfId="0" applyFill="1" applyBorder="1" applyAlignment="1">
      <alignment horizontal="center"/>
    </xf>
    <xf numFmtId="0" fontId="0" fillId="13" borderId="2" xfId="0" applyFill="1" applyBorder="1" applyAlignment="1">
      <alignment horizontal="center"/>
    </xf>
    <xf numFmtId="0" fontId="0" fillId="13" borderId="3" xfId="0" applyFill="1" applyBorder="1" applyAlignment="1">
      <alignment horizontal="center"/>
    </xf>
    <xf numFmtId="0" fontId="0" fillId="13" borderId="29" xfId="0" applyFill="1" applyBorder="1" applyAlignment="1">
      <alignment horizontal="center"/>
    </xf>
    <xf numFmtId="0" fontId="0" fillId="13" borderId="56" xfId="0" applyFill="1" applyBorder="1" applyAlignment="1">
      <alignment horizontal="center"/>
    </xf>
    <xf numFmtId="170" fontId="2" fillId="0" borderId="2" xfId="2" applyNumberFormat="1" applyFont="1" applyBorder="1" applyAlignment="1">
      <alignment horizontal="center" vertical="center"/>
    </xf>
    <xf numFmtId="170" fontId="2" fillId="0" borderId="4" xfId="2" applyNumberFormat="1"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left" vertical="center" indent="1"/>
    </xf>
    <xf numFmtId="0" fontId="1" fillId="0" borderId="3" xfId="0" applyFont="1" applyBorder="1" applyAlignment="1">
      <alignment horizontal="left" vertical="center" indent="1"/>
    </xf>
    <xf numFmtId="0" fontId="1" fillId="0" borderId="4" xfId="0" applyFont="1" applyBorder="1" applyAlignment="1">
      <alignment horizontal="left" vertical="center" inden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cellXfs>
  <cellStyles count="3">
    <cellStyle name="Currency" xfId="2" builtinId="4"/>
    <cellStyle name="Normal" xfId="0" builtinId="0"/>
    <cellStyle name="Per cent" xfId="1" builtinId="5"/>
  </cellStyles>
  <dxfs count="41">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2" defaultPivotStyle="PivotStyleLight16"/>
  <colors>
    <mruColors>
      <color rgb="FFCCFF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AU"/>
              <a:t>Defect Management Costs </a:t>
            </a:r>
          </a:p>
          <a:p>
            <a:pPr>
              <a:defRPr sz="1400" b="0" i="0" u="none" strike="noStrike" kern="1200" cap="none" spc="20" baseline="0">
                <a:solidFill>
                  <a:schemeClr val="tx1">
                    <a:lumMod val="50000"/>
                    <a:lumOff val="50000"/>
                  </a:schemeClr>
                </a:solidFill>
                <a:latin typeface="+mn-lt"/>
                <a:ea typeface="+mn-ea"/>
                <a:cs typeface="+mn-cs"/>
              </a:defRPr>
            </a:pPr>
            <a:r>
              <a:rPr lang="en-AU"/>
              <a:t>Effective Management v Ineffective Management </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9.9573652858034184E-2"/>
          <c:y val="0.17839909813441823"/>
          <c:w val="0.8068510699707081"/>
          <c:h val="0.56607785078894923"/>
        </c:manualLayout>
      </c:layout>
      <c:barChart>
        <c:barDir val="col"/>
        <c:grouping val="clustered"/>
        <c:varyColors val="0"/>
        <c:ser>
          <c:idx val="1"/>
          <c:order val="1"/>
          <c:tx>
            <c:strRef>
              <c:f>'Very Large Project'!$D$117</c:f>
              <c:strCache>
                <c:ptCount val="1"/>
                <c:pt idx="0">
                  <c:v>Cumlative Cost With DLP Manager </c:v>
                </c:pt>
              </c:strCache>
            </c:strRef>
          </c:tx>
          <c:spPr>
            <a:solidFill>
              <a:schemeClr val="accent6">
                <a:lumMod val="60000"/>
                <a:lumOff val="40000"/>
              </a:schemeClr>
            </a:solidFill>
            <a:ln w="9525" cap="flat" cmpd="sng" algn="ctr">
              <a:solidFill>
                <a:srgbClr val="00B050"/>
              </a:solidFill>
              <a:round/>
            </a:ln>
            <a:effectLst/>
          </c:spPr>
          <c:invertIfNegative val="0"/>
          <c:cat>
            <c:numRef>
              <c:f>'Very Large Project'!$C$115:$AN$115</c:f>
              <c:numCache>
                <c:formatCode>General</c:formatCode>
                <c:ptCount val="37"/>
                <c:pt idx="3" formatCode="mmm\-yy">
                  <c:v>44927</c:v>
                </c:pt>
                <c:pt idx="4" formatCode="mmm\-yy">
                  <c:v>44958</c:v>
                </c:pt>
                <c:pt idx="5" formatCode="mmm\-yy">
                  <c:v>44986</c:v>
                </c:pt>
                <c:pt idx="6" formatCode="mmm\-yy">
                  <c:v>45017</c:v>
                </c:pt>
                <c:pt idx="7" formatCode="mmm\-yy">
                  <c:v>45047</c:v>
                </c:pt>
                <c:pt idx="8" formatCode="mmm\-yy">
                  <c:v>45078</c:v>
                </c:pt>
                <c:pt idx="9" formatCode="mmm\-yy">
                  <c:v>45108</c:v>
                </c:pt>
                <c:pt idx="10" formatCode="mmm\-yy">
                  <c:v>45139</c:v>
                </c:pt>
                <c:pt idx="11" formatCode="mmm\-yy">
                  <c:v>45170</c:v>
                </c:pt>
                <c:pt idx="12" formatCode="mmm\-yy">
                  <c:v>45200</c:v>
                </c:pt>
                <c:pt idx="13" formatCode="mmm\-yy">
                  <c:v>45231</c:v>
                </c:pt>
                <c:pt idx="14" formatCode="mmm\-yy">
                  <c:v>45261</c:v>
                </c:pt>
                <c:pt idx="15" formatCode="mmm\-yy">
                  <c:v>45292</c:v>
                </c:pt>
                <c:pt idx="16" formatCode="mmm\-yy">
                  <c:v>45323</c:v>
                </c:pt>
                <c:pt idx="17" formatCode="mmm\-yy">
                  <c:v>45352</c:v>
                </c:pt>
                <c:pt idx="18" formatCode="mmm\-yy">
                  <c:v>45383</c:v>
                </c:pt>
                <c:pt idx="19" formatCode="mmm\-yy">
                  <c:v>45413</c:v>
                </c:pt>
                <c:pt idx="20" formatCode="mmm\-yy">
                  <c:v>45444</c:v>
                </c:pt>
                <c:pt idx="21" formatCode="mmm\-yy">
                  <c:v>45474</c:v>
                </c:pt>
                <c:pt idx="22" formatCode="mmm\-yy">
                  <c:v>45505</c:v>
                </c:pt>
                <c:pt idx="23" formatCode="mmm\-yy">
                  <c:v>45536</c:v>
                </c:pt>
                <c:pt idx="24" formatCode="mmm\-yy">
                  <c:v>45566</c:v>
                </c:pt>
                <c:pt idx="25" formatCode="mmm\-yy">
                  <c:v>45597</c:v>
                </c:pt>
                <c:pt idx="26" formatCode="mmm\-yy">
                  <c:v>45627</c:v>
                </c:pt>
                <c:pt idx="27" formatCode="mmm\-yy">
                  <c:v>45658</c:v>
                </c:pt>
                <c:pt idx="28" formatCode="mmm\-yy">
                  <c:v>45689</c:v>
                </c:pt>
                <c:pt idx="29" formatCode="mmm\-yy">
                  <c:v>45717</c:v>
                </c:pt>
                <c:pt idx="30" formatCode="mmm\-yy">
                  <c:v>45748</c:v>
                </c:pt>
                <c:pt idx="31" formatCode="mmm\-yy">
                  <c:v>45778</c:v>
                </c:pt>
                <c:pt idx="32" formatCode="mmm\-yy">
                  <c:v>45809</c:v>
                </c:pt>
                <c:pt idx="33" formatCode="mmm\-yy">
                  <c:v>45839</c:v>
                </c:pt>
                <c:pt idx="34" formatCode="mmm\-yy">
                  <c:v>45870</c:v>
                </c:pt>
                <c:pt idx="35" formatCode="mmm\-yy">
                  <c:v>45901</c:v>
                </c:pt>
              </c:numCache>
            </c:numRef>
          </c:cat>
          <c:val>
            <c:numRef>
              <c:f>'Very Large Project'!$F$117:$AN$117</c:f>
              <c:numCache>
                <c:formatCode>#,##0_);[Red]\(#,##0\)</c:formatCode>
                <c:ptCount val="34"/>
                <c:pt idx="0">
                  <c:v>71640.607060376118</c:v>
                </c:pt>
                <c:pt idx="1">
                  <c:v>131620.97657538767</c:v>
                </c:pt>
                <c:pt idx="2">
                  <c:v>188971.39722863742</c:v>
                </c:pt>
                <c:pt idx="3">
                  <c:v>234425.70273837016</c:v>
                </c:pt>
                <c:pt idx="4">
                  <c:v>266056.79808644013</c:v>
                </c:pt>
                <c:pt idx="5">
                  <c:v>299306.38568129332</c:v>
                </c:pt>
                <c:pt idx="6">
                  <c:v>323249.28695150116</c:v>
                </c:pt>
                <c:pt idx="7">
                  <c:v>342192.18822170899</c:v>
                </c:pt>
                <c:pt idx="8">
                  <c:v>357798.22170900693</c:v>
                </c:pt>
                <c:pt idx="9">
                  <c:v>375741.12297921476</c:v>
                </c:pt>
                <c:pt idx="10">
                  <c:v>392347.15646651271</c:v>
                </c:pt>
                <c:pt idx="11">
                  <c:v>418657.03383371828</c:v>
                </c:pt>
                <c:pt idx="12">
                  <c:v>424602.1943418014</c:v>
                </c:pt>
                <c:pt idx="13">
                  <c:v>430421.8606235566</c:v>
                </c:pt>
                <c:pt idx="14">
                  <c:v>436367.02113163972</c:v>
                </c:pt>
                <c:pt idx="15">
                  <c:v>442249.43452655891</c:v>
                </c:pt>
                <c:pt idx="16">
                  <c:v>448194.59503464203</c:v>
                </c:pt>
                <c:pt idx="17">
                  <c:v>454077.00842956122</c:v>
                </c:pt>
                <c:pt idx="18">
                  <c:v>460119.42696304852</c:v>
                </c:pt>
                <c:pt idx="19">
                  <c:v>466161.84549653583</c:v>
                </c:pt>
                <c:pt idx="20">
                  <c:v>472138.37956120097</c:v>
                </c:pt>
                <c:pt idx="21">
                  <c:v>477159.58882794459</c:v>
                </c:pt>
                <c:pt idx="22">
                  <c:v>482147.85586027714</c:v>
                </c:pt>
                <c:pt idx="23">
                  <c:v>487169.06512702076</c:v>
                </c:pt>
                <c:pt idx="24">
                  <c:v>487169.06512702076</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1-12A3-4F62-A2DC-86F694DCF15B}"/>
            </c:ext>
          </c:extLst>
        </c:ser>
        <c:ser>
          <c:idx val="3"/>
          <c:order val="3"/>
          <c:tx>
            <c:strRef>
              <c:f>'Very Large Project'!$D$119</c:f>
              <c:strCache>
                <c:ptCount val="1"/>
                <c:pt idx="0">
                  <c:v>Cumlative Cost Without DLP Manager </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rgbClr val="FFC000"/>
              </a:solidFill>
              <a:round/>
            </a:ln>
            <a:effectLst/>
          </c:spPr>
          <c:invertIfNegative val="0"/>
          <c:cat>
            <c:numRef>
              <c:f>'Very Large Project'!$C$115:$AN$115</c:f>
              <c:numCache>
                <c:formatCode>General</c:formatCode>
                <c:ptCount val="37"/>
                <c:pt idx="3" formatCode="mmm\-yy">
                  <c:v>44927</c:v>
                </c:pt>
                <c:pt idx="4" formatCode="mmm\-yy">
                  <c:v>44958</c:v>
                </c:pt>
                <c:pt idx="5" formatCode="mmm\-yy">
                  <c:v>44986</c:v>
                </c:pt>
                <c:pt idx="6" formatCode="mmm\-yy">
                  <c:v>45017</c:v>
                </c:pt>
                <c:pt idx="7" formatCode="mmm\-yy">
                  <c:v>45047</c:v>
                </c:pt>
                <c:pt idx="8" formatCode="mmm\-yy">
                  <c:v>45078</c:v>
                </c:pt>
                <c:pt idx="9" formatCode="mmm\-yy">
                  <c:v>45108</c:v>
                </c:pt>
                <c:pt idx="10" formatCode="mmm\-yy">
                  <c:v>45139</c:v>
                </c:pt>
                <c:pt idx="11" formatCode="mmm\-yy">
                  <c:v>45170</c:v>
                </c:pt>
                <c:pt idx="12" formatCode="mmm\-yy">
                  <c:v>45200</c:v>
                </c:pt>
                <c:pt idx="13" formatCode="mmm\-yy">
                  <c:v>45231</c:v>
                </c:pt>
                <c:pt idx="14" formatCode="mmm\-yy">
                  <c:v>45261</c:v>
                </c:pt>
                <c:pt idx="15" formatCode="mmm\-yy">
                  <c:v>45292</c:v>
                </c:pt>
                <c:pt idx="16" formatCode="mmm\-yy">
                  <c:v>45323</c:v>
                </c:pt>
                <c:pt idx="17" formatCode="mmm\-yy">
                  <c:v>45352</c:v>
                </c:pt>
                <c:pt idx="18" formatCode="mmm\-yy">
                  <c:v>45383</c:v>
                </c:pt>
                <c:pt idx="19" formatCode="mmm\-yy">
                  <c:v>45413</c:v>
                </c:pt>
                <c:pt idx="20" formatCode="mmm\-yy">
                  <c:v>45444</c:v>
                </c:pt>
                <c:pt idx="21" formatCode="mmm\-yy">
                  <c:v>45474</c:v>
                </c:pt>
                <c:pt idx="22" formatCode="mmm\-yy">
                  <c:v>45505</c:v>
                </c:pt>
                <c:pt idx="23" formatCode="mmm\-yy">
                  <c:v>45536</c:v>
                </c:pt>
                <c:pt idx="24" formatCode="mmm\-yy">
                  <c:v>45566</c:v>
                </c:pt>
                <c:pt idx="25" formatCode="mmm\-yy">
                  <c:v>45597</c:v>
                </c:pt>
                <c:pt idx="26" formatCode="mmm\-yy">
                  <c:v>45627</c:v>
                </c:pt>
                <c:pt idx="27" formatCode="mmm\-yy">
                  <c:v>45658</c:v>
                </c:pt>
                <c:pt idx="28" formatCode="mmm\-yy">
                  <c:v>45689</c:v>
                </c:pt>
                <c:pt idx="29" formatCode="mmm\-yy">
                  <c:v>45717</c:v>
                </c:pt>
                <c:pt idx="30" formatCode="mmm\-yy">
                  <c:v>45748</c:v>
                </c:pt>
                <c:pt idx="31" formatCode="mmm\-yy">
                  <c:v>45778</c:v>
                </c:pt>
                <c:pt idx="32" formatCode="mmm\-yy">
                  <c:v>45809</c:v>
                </c:pt>
                <c:pt idx="33" formatCode="mmm\-yy">
                  <c:v>45839</c:v>
                </c:pt>
                <c:pt idx="34" formatCode="mmm\-yy">
                  <c:v>45870</c:v>
                </c:pt>
                <c:pt idx="35" formatCode="mmm\-yy">
                  <c:v>45901</c:v>
                </c:pt>
              </c:numCache>
            </c:numRef>
          </c:cat>
          <c:val>
            <c:numRef>
              <c:f>'Very Large Project'!$F$119:$AN$119</c:f>
              <c:numCache>
                <c:formatCode>#,##0_);[Red]\(#,##0\)</c:formatCode>
                <c:ptCount val="34"/>
                <c:pt idx="0">
                  <c:v>150399.34015176512</c:v>
                </c:pt>
                <c:pt idx="1">
                  <c:v>287157.53876608389</c:v>
                </c:pt>
                <c:pt idx="2">
                  <c:v>398745.6862421644</c:v>
                </c:pt>
                <c:pt idx="3">
                  <c:v>480152.08677004301</c:v>
                </c:pt>
                <c:pt idx="4">
                  <c:v>528984.54800395924</c:v>
                </c:pt>
                <c:pt idx="5">
                  <c:v>576682.79940613674</c:v>
                </c:pt>
                <c:pt idx="6">
                  <c:v>630330.57700428914</c:v>
                </c:pt>
                <c:pt idx="7">
                  <c:v>683978.35460244154</c:v>
                </c:pt>
                <c:pt idx="8">
                  <c:v>741716.68312438147</c:v>
                </c:pt>
                <c:pt idx="9">
                  <c:v>783907.13953315746</c:v>
                </c:pt>
                <c:pt idx="10">
                  <c:v>817766.09103431215</c:v>
                </c:pt>
                <c:pt idx="11">
                  <c:v>873322.50720059394</c:v>
                </c:pt>
                <c:pt idx="12">
                  <c:v>905681.84965632914</c:v>
                </c:pt>
                <c:pt idx="13">
                  <c:v>936954.83668481256</c:v>
                </c:pt>
                <c:pt idx="14">
                  <c:v>969314.17914054776</c:v>
                </c:pt>
                <c:pt idx="15">
                  <c:v>1006735.649887276</c:v>
                </c:pt>
                <c:pt idx="16">
                  <c:v>1057893.3185554824</c:v>
                </c:pt>
                <c:pt idx="17">
                  <c:v>1127223.992535467</c:v>
                </c:pt>
                <c:pt idx="18">
                  <c:v>1203663.502970417</c:v>
                </c:pt>
                <c:pt idx="19">
                  <c:v>1271607.463405367</c:v>
                </c:pt>
                <c:pt idx="20">
                  <c:v>1338957.1294176842</c:v>
                </c:pt>
                <c:pt idx="21">
                  <c:v>1396901.0898526341</c:v>
                </c:pt>
                <c:pt idx="22">
                  <c:v>1444250.7558649513</c:v>
                </c:pt>
                <c:pt idx="23">
                  <c:v>1487194.7162999013</c:v>
                </c:pt>
                <c:pt idx="24">
                  <c:v>1530138.6767348512</c:v>
                </c:pt>
                <c:pt idx="25">
                  <c:v>1571299.7539019028</c:v>
                </c:pt>
                <c:pt idx="26">
                  <c:v>1614243.7143368528</c:v>
                </c:pt>
                <c:pt idx="27">
                  <c:v>1656593.38034917</c:v>
                </c:pt>
                <c:pt idx="28">
                  <c:v>1695537.3407841199</c:v>
                </c:pt>
                <c:pt idx="29">
                  <c:v>1738887.0067964371</c:v>
                </c:pt>
                <c:pt idx="30">
                  <c:v>1791297.7973064447</c:v>
                </c:pt>
                <c:pt idx="31">
                  <c:v>1846363.7600999398</c:v>
                </c:pt>
                <c:pt idx="32">
                  <c:v>2132768.0895071761</c:v>
                </c:pt>
              </c:numCache>
            </c:numRef>
          </c:val>
          <c:extLst>
            <c:ext xmlns:c16="http://schemas.microsoft.com/office/drawing/2014/chart" uri="{C3380CC4-5D6E-409C-BE32-E72D297353CC}">
              <c16:uniqueId val="{00000003-12A3-4F62-A2DC-86F694DCF15B}"/>
            </c:ext>
          </c:extLst>
        </c:ser>
        <c:dLbls>
          <c:showLegendKey val="0"/>
          <c:showVal val="0"/>
          <c:showCatName val="0"/>
          <c:showSerName val="0"/>
          <c:showPercent val="0"/>
          <c:showBubbleSize val="0"/>
        </c:dLbls>
        <c:gapWidth val="247"/>
        <c:axId val="344535103"/>
        <c:axId val="344511807"/>
      </c:barChart>
      <c:lineChart>
        <c:grouping val="standard"/>
        <c:varyColors val="0"/>
        <c:ser>
          <c:idx val="0"/>
          <c:order val="0"/>
          <c:tx>
            <c:strRef>
              <c:f>'Very Large Project'!$D$116</c:f>
              <c:strCache>
                <c:ptCount val="1"/>
                <c:pt idx="0">
                  <c:v>Monthly Cost With DLP Manager </c:v>
                </c:pt>
              </c:strCache>
            </c:strRef>
          </c:tx>
          <c:spPr>
            <a:ln w="15875" cap="rnd">
              <a:solidFill>
                <a:srgbClr val="00B050"/>
              </a:solidFill>
              <a:round/>
            </a:ln>
            <a:effectLst/>
          </c:spPr>
          <c:marker>
            <c:symbol val="none"/>
          </c:marker>
          <c:cat>
            <c:numRef>
              <c:f>'Very Large Project'!$C$115:$AN$115</c:f>
              <c:numCache>
                <c:formatCode>General</c:formatCode>
                <c:ptCount val="37"/>
                <c:pt idx="3" formatCode="mmm\-yy">
                  <c:v>44927</c:v>
                </c:pt>
                <c:pt idx="4" formatCode="mmm\-yy">
                  <c:v>44958</c:v>
                </c:pt>
                <c:pt idx="5" formatCode="mmm\-yy">
                  <c:v>44986</c:v>
                </c:pt>
                <c:pt idx="6" formatCode="mmm\-yy">
                  <c:v>45017</c:v>
                </c:pt>
                <c:pt idx="7" formatCode="mmm\-yy">
                  <c:v>45047</c:v>
                </c:pt>
                <c:pt idx="8" formatCode="mmm\-yy">
                  <c:v>45078</c:v>
                </c:pt>
                <c:pt idx="9" formatCode="mmm\-yy">
                  <c:v>45108</c:v>
                </c:pt>
                <c:pt idx="10" formatCode="mmm\-yy">
                  <c:v>45139</c:v>
                </c:pt>
                <c:pt idx="11" formatCode="mmm\-yy">
                  <c:v>45170</c:v>
                </c:pt>
                <c:pt idx="12" formatCode="mmm\-yy">
                  <c:v>45200</c:v>
                </c:pt>
                <c:pt idx="13" formatCode="mmm\-yy">
                  <c:v>45231</c:v>
                </c:pt>
                <c:pt idx="14" formatCode="mmm\-yy">
                  <c:v>45261</c:v>
                </c:pt>
                <c:pt idx="15" formatCode="mmm\-yy">
                  <c:v>45292</c:v>
                </c:pt>
                <c:pt idx="16" formatCode="mmm\-yy">
                  <c:v>45323</c:v>
                </c:pt>
                <c:pt idx="17" formatCode="mmm\-yy">
                  <c:v>45352</c:v>
                </c:pt>
                <c:pt idx="18" formatCode="mmm\-yy">
                  <c:v>45383</c:v>
                </c:pt>
                <c:pt idx="19" formatCode="mmm\-yy">
                  <c:v>45413</c:v>
                </c:pt>
                <c:pt idx="20" formatCode="mmm\-yy">
                  <c:v>45444</c:v>
                </c:pt>
                <c:pt idx="21" formatCode="mmm\-yy">
                  <c:v>45474</c:v>
                </c:pt>
                <c:pt idx="22" formatCode="mmm\-yy">
                  <c:v>45505</c:v>
                </c:pt>
                <c:pt idx="23" formatCode="mmm\-yy">
                  <c:v>45536</c:v>
                </c:pt>
                <c:pt idx="24" formatCode="mmm\-yy">
                  <c:v>45566</c:v>
                </c:pt>
                <c:pt idx="25" formatCode="mmm\-yy">
                  <c:v>45597</c:v>
                </c:pt>
                <c:pt idx="26" formatCode="mmm\-yy">
                  <c:v>45627</c:v>
                </c:pt>
                <c:pt idx="27" formatCode="mmm\-yy">
                  <c:v>45658</c:v>
                </c:pt>
                <c:pt idx="28" formatCode="mmm\-yy">
                  <c:v>45689</c:v>
                </c:pt>
                <c:pt idx="29" formatCode="mmm\-yy">
                  <c:v>45717</c:v>
                </c:pt>
                <c:pt idx="30" formatCode="mmm\-yy">
                  <c:v>45748</c:v>
                </c:pt>
                <c:pt idx="31" formatCode="mmm\-yy">
                  <c:v>45778</c:v>
                </c:pt>
                <c:pt idx="32" formatCode="mmm\-yy">
                  <c:v>45809</c:v>
                </c:pt>
                <c:pt idx="33" formatCode="mmm\-yy">
                  <c:v>45839</c:v>
                </c:pt>
                <c:pt idx="34" formatCode="mmm\-yy">
                  <c:v>45870</c:v>
                </c:pt>
                <c:pt idx="35" formatCode="mmm\-yy">
                  <c:v>45901</c:v>
                </c:pt>
              </c:numCache>
            </c:numRef>
          </c:cat>
          <c:val>
            <c:numRef>
              <c:f>'Very Large Project'!$F$116:$AN$116</c:f>
              <c:numCache>
                <c:formatCode>#,##0_);[Red]\(#,##0\)</c:formatCode>
                <c:ptCount val="34"/>
                <c:pt idx="0">
                  <c:v>71640.607060376118</c:v>
                </c:pt>
                <c:pt idx="1">
                  <c:v>59980.369515011545</c:v>
                </c:pt>
                <c:pt idx="2">
                  <c:v>57350.420653249756</c:v>
                </c:pt>
                <c:pt idx="3">
                  <c:v>45454.30550973276</c:v>
                </c:pt>
                <c:pt idx="4">
                  <c:v>31631.095348069943</c:v>
                </c:pt>
                <c:pt idx="5">
                  <c:v>33249.587594853183</c:v>
                </c:pt>
                <c:pt idx="6">
                  <c:v>23942.901270207854</c:v>
                </c:pt>
                <c:pt idx="7">
                  <c:v>18942.901270207854</c:v>
                </c:pt>
                <c:pt idx="8">
                  <c:v>15606.033487297922</c:v>
                </c:pt>
                <c:pt idx="9">
                  <c:v>17942.901270207854</c:v>
                </c:pt>
                <c:pt idx="10">
                  <c:v>16606.033487297922</c:v>
                </c:pt>
                <c:pt idx="11">
                  <c:v>26309.877367205543</c:v>
                </c:pt>
                <c:pt idx="12">
                  <c:v>5945.1605080831414</c:v>
                </c:pt>
                <c:pt idx="13">
                  <c:v>5819.6662817551969</c:v>
                </c:pt>
                <c:pt idx="14">
                  <c:v>5945.1605080831414</c:v>
                </c:pt>
                <c:pt idx="15">
                  <c:v>5882.4133949191691</c:v>
                </c:pt>
                <c:pt idx="16">
                  <c:v>5945.1605080831414</c:v>
                </c:pt>
                <c:pt idx="17">
                  <c:v>5882.4133949191691</c:v>
                </c:pt>
                <c:pt idx="18">
                  <c:v>6042.4185334872982</c:v>
                </c:pt>
                <c:pt idx="19">
                  <c:v>6042.4185334872982</c:v>
                </c:pt>
                <c:pt idx="20">
                  <c:v>5976.5340646651275</c:v>
                </c:pt>
                <c:pt idx="21">
                  <c:v>5021.2092667436491</c:v>
                </c:pt>
                <c:pt idx="22">
                  <c:v>4988.2670323325638</c:v>
                </c:pt>
                <c:pt idx="23">
                  <c:v>5021.2092667436491</c:v>
                </c:pt>
              </c:numCache>
            </c:numRef>
          </c:val>
          <c:smooth val="0"/>
          <c:extLst>
            <c:ext xmlns:c16="http://schemas.microsoft.com/office/drawing/2014/chart" uri="{C3380CC4-5D6E-409C-BE32-E72D297353CC}">
              <c16:uniqueId val="{00000000-12A3-4F62-A2DC-86F694DCF15B}"/>
            </c:ext>
          </c:extLst>
        </c:ser>
        <c:ser>
          <c:idx val="2"/>
          <c:order val="2"/>
          <c:tx>
            <c:strRef>
              <c:f>'Very Large Project'!$D$118</c:f>
              <c:strCache>
                <c:ptCount val="1"/>
                <c:pt idx="0">
                  <c:v>Monthly Cost Without DLP Manager </c:v>
                </c:pt>
              </c:strCache>
            </c:strRef>
          </c:tx>
          <c:spPr>
            <a:ln w="15875" cap="rnd">
              <a:solidFill>
                <a:srgbClr val="FFC000"/>
              </a:solidFill>
              <a:round/>
            </a:ln>
            <a:effectLst/>
          </c:spPr>
          <c:marker>
            <c:symbol val="none"/>
          </c:marker>
          <c:cat>
            <c:numRef>
              <c:f>'Very Large Project'!$C$115:$AN$115</c:f>
              <c:numCache>
                <c:formatCode>General</c:formatCode>
                <c:ptCount val="37"/>
                <c:pt idx="3" formatCode="mmm\-yy">
                  <c:v>44927</c:v>
                </c:pt>
                <c:pt idx="4" formatCode="mmm\-yy">
                  <c:v>44958</c:v>
                </c:pt>
                <c:pt idx="5" formatCode="mmm\-yy">
                  <c:v>44986</c:v>
                </c:pt>
                <c:pt idx="6" formatCode="mmm\-yy">
                  <c:v>45017</c:v>
                </c:pt>
                <c:pt idx="7" formatCode="mmm\-yy">
                  <c:v>45047</c:v>
                </c:pt>
                <c:pt idx="8" formatCode="mmm\-yy">
                  <c:v>45078</c:v>
                </c:pt>
                <c:pt idx="9" formatCode="mmm\-yy">
                  <c:v>45108</c:v>
                </c:pt>
                <c:pt idx="10" formatCode="mmm\-yy">
                  <c:v>45139</c:v>
                </c:pt>
                <c:pt idx="11" formatCode="mmm\-yy">
                  <c:v>45170</c:v>
                </c:pt>
                <c:pt idx="12" formatCode="mmm\-yy">
                  <c:v>45200</c:v>
                </c:pt>
                <c:pt idx="13" formatCode="mmm\-yy">
                  <c:v>45231</c:v>
                </c:pt>
                <c:pt idx="14" formatCode="mmm\-yy">
                  <c:v>45261</c:v>
                </c:pt>
                <c:pt idx="15" formatCode="mmm\-yy">
                  <c:v>45292</c:v>
                </c:pt>
                <c:pt idx="16" formatCode="mmm\-yy">
                  <c:v>45323</c:v>
                </c:pt>
                <c:pt idx="17" formatCode="mmm\-yy">
                  <c:v>45352</c:v>
                </c:pt>
                <c:pt idx="18" formatCode="mmm\-yy">
                  <c:v>45383</c:v>
                </c:pt>
                <c:pt idx="19" formatCode="mmm\-yy">
                  <c:v>45413</c:v>
                </c:pt>
                <c:pt idx="20" formatCode="mmm\-yy">
                  <c:v>45444</c:v>
                </c:pt>
                <c:pt idx="21" formatCode="mmm\-yy">
                  <c:v>45474</c:v>
                </c:pt>
                <c:pt idx="22" formatCode="mmm\-yy">
                  <c:v>45505</c:v>
                </c:pt>
                <c:pt idx="23" formatCode="mmm\-yy">
                  <c:v>45536</c:v>
                </c:pt>
                <c:pt idx="24" formatCode="mmm\-yy">
                  <c:v>45566</c:v>
                </c:pt>
                <c:pt idx="25" formatCode="mmm\-yy">
                  <c:v>45597</c:v>
                </c:pt>
                <c:pt idx="26" formatCode="mmm\-yy">
                  <c:v>45627</c:v>
                </c:pt>
                <c:pt idx="27" formatCode="mmm\-yy">
                  <c:v>45658</c:v>
                </c:pt>
                <c:pt idx="28" formatCode="mmm\-yy">
                  <c:v>45689</c:v>
                </c:pt>
                <c:pt idx="29" formatCode="mmm\-yy">
                  <c:v>45717</c:v>
                </c:pt>
                <c:pt idx="30" formatCode="mmm\-yy">
                  <c:v>45748</c:v>
                </c:pt>
                <c:pt idx="31" formatCode="mmm\-yy">
                  <c:v>45778</c:v>
                </c:pt>
                <c:pt idx="32" formatCode="mmm\-yy">
                  <c:v>45809</c:v>
                </c:pt>
                <c:pt idx="33" formatCode="mmm\-yy">
                  <c:v>45839</c:v>
                </c:pt>
                <c:pt idx="34" formatCode="mmm\-yy">
                  <c:v>45870</c:v>
                </c:pt>
                <c:pt idx="35" formatCode="mmm\-yy">
                  <c:v>45901</c:v>
                </c:pt>
              </c:numCache>
            </c:numRef>
          </c:cat>
          <c:val>
            <c:numRef>
              <c:f>'Very Large Project'!$F$118:$AN$118</c:f>
              <c:numCache>
                <c:formatCode>#,##0_);[Red]\(#,##0\)</c:formatCode>
                <c:ptCount val="34"/>
                <c:pt idx="0">
                  <c:v>150399.34015176512</c:v>
                </c:pt>
                <c:pt idx="1">
                  <c:v>136758.19861431874</c:v>
                </c:pt>
                <c:pt idx="2">
                  <c:v>111588.1474760805</c:v>
                </c:pt>
                <c:pt idx="3">
                  <c:v>81406.400527878592</c:v>
                </c:pt>
                <c:pt idx="4">
                  <c:v>48832.461233916205</c:v>
                </c:pt>
                <c:pt idx="5">
                  <c:v>47698.251402177499</c:v>
                </c:pt>
                <c:pt idx="6">
                  <c:v>53647.777598152425</c:v>
                </c:pt>
                <c:pt idx="7">
                  <c:v>53647.777598152425</c:v>
                </c:pt>
                <c:pt idx="8">
                  <c:v>57738.328521939962</c:v>
                </c:pt>
                <c:pt idx="9">
                  <c:v>42190.456408775979</c:v>
                </c:pt>
                <c:pt idx="10">
                  <c:v>33858.951501154734</c:v>
                </c:pt>
                <c:pt idx="11">
                  <c:v>55556.416166281764</c:v>
                </c:pt>
                <c:pt idx="12">
                  <c:v>32359.342455735183</c:v>
                </c:pt>
                <c:pt idx="13">
                  <c:v>31272.987028483451</c:v>
                </c:pt>
                <c:pt idx="14">
                  <c:v>32359.342455735183</c:v>
                </c:pt>
                <c:pt idx="15">
                  <c:v>37421.47074672825</c:v>
                </c:pt>
                <c:pt idx="16">
                  <c:v>51157.668668206323</c:v>
                </c:pt>
                <c:pt idx="17">
                  <c:v>69330.673979984611</c:v>
                </c:pt>
                <c:pt idx="18">
                  <c:v>76439.510434949974</c:v>
                </c:pt>
                <c:pt idx="19">
                  <c:v>67943.960434949971</c:v>
                </c:pt>
                <c:pt idx="20">
                  <c:v>67349.666012317175</c:v>
                </c:pt>
                <c:pt idx="21">
                  <c:v>57943.960434949971</c:v>
                </c:pt>
                <c:pt idx="22">
                  <c:v>47349.666012317175</c:v>
                </c:pt>
                <c:pt idx="23">
                  <c:v>42943.960434949971</c:v>
                </c:pt>
                <c:pt idx="24">
                  <c:v>42943.960434949971</c:v>
                </c:pt>
                <c:pt idx="25">
                  <c:v>41161.077167051582</c:v>
                </c:pt>
                <c:pt idx="26">
                  <c:v>42943.960434949971</c:v>
                </c:pt>
                <c:pt idx="27">
                  <c:v>42349.666012317175</c:v>
                </c:pt>
                <c:pt idx="28">
                  <c:v>38943.960434949971</c:v>
                </c:pt>
                <c:pt idx="29">
                  <c:v>43349.666012317175</c:v>
                </c:pt>
                <c:pt idx="30">
                  <c:v>52410.790510007704</c:v>
                </c:pt>
                <c:pt idx="31">
                  <c:v>55065.962793495004</c:v>
                </c:pt>
                <c:pt idx="32">
                  <c:v>286404.32940723631</c:v>
                </c:pt>
              </c:numCache>
            </c:numRef>
          </c:val>
          <c:smooth val="0"/>
          <c:extLst>
            <c:ext xmlns:c16="http://schemas.microsoft.com/office/drawing/2014/chart" uri="{C3380CC4-5D6E-409C-BE32-E72D297353CC}">
              <c16:uniqueId val="{00000002-12A3-4F62-A2DC-86F694DCF15B}"/>
            </c:ext>
          </c:extLst>
        </c:ser>
        <c:dLbls>
          <c:showLegendKey val="0"/>
          <c:showVal val="0"/>
          <c:showCatName val="0"/>
          <c:showSerName val="0"/>
          <c:showPercent val="0"/>
          <c:showBubbleSize val="0"/>
        </c:dLbls>
        <c:marker val="1"/>
        <c:smooth val="0"/>
        <c:axId val="2020145727"/>
        <c:axId val="2020148639"/>
      </c:lineChart>
      <c:catAx>
        <c:axId val="2020145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020148639"/>
        <c:crosses val="autoZero"/>
        <c:auto val="0"/>
        <c:lblAlgn val="ctr"/>
        <c:lblOffset val="100"/>
        <c:noMultiLvlLbl val="0"/>
      </c:catAx>
      <c:valAx>
        <c:axId val="20201486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AU"/>
                  <a:t>Monthly COsts </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020145727"/>
        <c:crosses val="autoZero"/>
        <c:crossBetween val="between"/>
      </c:valAx>
      <c:valAx>
        <c:axId val="344511807"/>
        <c:scaling>
          <c:orientation val="minMax"/>
        </c:scaling>
        <c:delete val="0"/>
        <c:axPos val="r"/>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Cumulative costs</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44535103"/>
        <c:crosses val="max"/>
        <c:crossBetween val="between"/>
      </c:valAx>
      <c:dateAx>
        <c:axId val="344535103"/>
        <c:scaling>
          <c:orientation val="minMax"/>
        </c:scaling>
        <c:delete val="1"/>
        <c:axPos val="b"/>
        <c:numFmt formatCode="General" sourceLinked="1"/>
        <c:majorTickMark val="out"/>
        <c:minorTickMark val="none"/>
        <c:tickLblPos val="nextTo"/>
        <c:crossAx val="344511807"/>
        <c:crosses val="autoZero"/>
        <c:auto val="1"/>
        <c:lblOffset val="100"/>
        <c:baseTimeUnit val="months"/>
        <c:majorUnit val="1"/>
        <c:minorUnit val="1"/>
      </c:dateAx>
      <c:spPr>
        <a:noFill/>
        <a:ln>
          <a:noFill/>
        </a:ln>
        <a:effectLst/>
      </c:spPr>
    </c:plotArea>
    <c:legend>
      <c:legendPos val="b"/>
      <c:layout>
        <c:manualLayout>
          <c:xMode val="edge"/>
          <c:yMode val="edge"/>
          <c:x val="0.15899384134247749"/>
          <c:y val="0.83747448470336405"/>
          <c:w val="0.68609963705458943"/>
          <c:h val="0.1452933227004355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AU"/>
              <a:t>Defect Management Costs </a:t>
            </a:r>
          </a:p>
          <a:p>
            <a:pPr>
              <a:defRPr sz="1400" b="0" i="0" u="none" strike="noStrike" kern="1200" cap="none" spc="20" baseline="0">
                <a:solidFill>
                  <a:schemeClr val="tx1">
                    <a:lumMod val="50000"/>
                    <a:lumOff val="50000"/>
                  </a:schemeClr>
                </a:solidFill>
                <a:latin typeface="+mn-lt"/>
                <a:ea typeface="+mn-ea"/>
                <a:cs typeface="+mn-cs"/>
              </a:defRPr>
            </a:pPr>
            <a:r>
              <a:rPr lang="en-AU"/>
              <a:t>Effective Management v Ineffective Management </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9.9573652858034184E-2"/>
          <c:y val="0.17839909813441823"/>
          <c:w val="0.8174607287671849"/>
          <c:h val="0.56607785078894923"/>
        </c:manualLayout>
      </c:layout>
      <c:barChart>
        <c:barDir val="col"/>
        <c:grouping val="clustered"/>
        <c:varyColors val="0"/>
        <c:ser>
          <c:idx val="1"/>
          <c:order val="1"/>
          <c:tx>
            <c:strRef>
              <c:f>'Large Project'!$D$114:$E$114</c:f>
              <c:strCache>
                <c:ptCount val="2"/>
                <c:pt idx="0">
                  <c:v>Cumlative Cost With DLP Manager </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numRef>
              <c:f>'Large Project'!$F$112:$AN$112</c:f>
              <c:numCache>
                <c:formatCode>mmm\-yy</c:formatCode>
                <c:ptCount val="34"/>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numCache>
            </c:numRef>
          </c:cat>
          <c:val>
            <c:numRef>
              <c:f>'Large Project'!$F$114:$AN$114</c:f>
              <c:numCache>
                <c:formatCode>#,##0_);[Red]\(#,##0\)</c:formatCode>
                <c:ptCount val="34"/>
                <c:pt idx="0">
                  <c:v>66068.775981524261</c:v>
                </c:pt>
                <c:pt idx="1">
                  <c:v>122049.14549653581</c:v>
                </c:pt>
                <c:pt idx="2">
                  <c:v>173899.56614978556</c:v>
                </c:pt>
                <c:pt idx="3">
                  <c:v>214103.87165951834</c:v>
                </c:pt>
                <c:pt idx="4">
                  <c:v>240984.96700758828</c:v>
                </c:pt>
                <c:pt idx="5">
                  <c:v>267234.55460244144</c:v>
                </c:pt>
                <c:pt idx="6">
                  <c:v>284427.45587264927</c:v>
                </c:pt>
                <c:pt idx="7">
                  <c:v>299120.3571428571</c:v>
                </c:pt>
                <c:pt idx="8">
                  <c:v>311976.39063015505</c:v>
                </c:pt>
                <c:pt idx="9">
                  <c:v>326169.29190036288</c:v>
                </c:pt>
                <c:pt idx="10">
                  <c:v>339525.32538766082</c:v>
                </c:pt>
                <c:pt idx="11">
                  <c:v>361335.20275486639</c:v>
                </c:pt>
                <c:pt idx="12">
                  <c:v>365280.36326294951</c:v>
                </c:pt>
                <c:pt idx="13">
                  <c:v>369100.02954470471</c:v>
                </c:pt>
                <c:pt idx="14">
                  <c:v>373045.19005278783</c:v>
                </c:pt>
                <c:pt idx="15">
                  <c:v>376927.60344770702</c:v>
                </c:pt>
                <c:pt idx="16">
                  <c:v>380872.76395579014</c:v>
                </c:pt>
                <c:pt idx="17">
                  <c:v>384755.17735070933</c:v>
                </c:pt>
                <c:pt idx="18">
                  <c:v>388797.59588419663</c:v>
                </c:pt>
                <c:pt idx="19">
                  <c:v>392840.01441768394</c:v>
                </c:pt>
                <c:pt idx="20">
                  <c:v>396816.54848234908</c:v>
                </c:pt>
                <c:pt idx="21">
                  <c:v>399837.75774909271</c:v>
                </c:pt>
                <c:pt idx="22">
                  <c:v>402826.02478142525</c:v>
                </c:pt>
                <c:pt idx="23">
                  <c:v>405847.23404816887</c:v>
                </c:pt>
                <c:pt idx="24">
                  <c:v>405847.23404816887</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0-3874-4CC2-ABB0-152D550C9F95}"/>
            </c:ext>
          </c:extLst>
        </c:ser>
        <c:ser>
          <c:idx val="3"/>
          <c:order val="3"/>
          <c:tx>
            <c:strRef>
              <c:f>'Large Project'!$D$116:$E$116</c:f>
              <c:strCache>
                <c:ptCount val="2"/>
                <c:pt idx="0">
                  <c:v>Cumlative Cost Without DLP Manager </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15875" cap="rnd" cmpd="sng" algn="ctr">
              <a:solidFill>
                <a:srgbClr val="00B050"/>
              </a:solidFill>
              <a:round/>
            </a:ln>
            <a:effectLst/>
          </c:spPr>
          <c:invertIfNegative val="0"/>
          <c:cat>
            <c:numRef>
              <c:f>'Large Project'!$F$112:$AN$112</c:f>
              <c:numCache>
                <c:formatCode>mmm\-yy</c:formatCode>
                <c:ptCount val="34"/>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numCache>
            </c:numRef>
          </c:cat>
          <c:val>
            <c:numRef>
              <c:f>'Large Project'!$F$116:$AN$116</c:f>
              <c:numCache>
                <c:formatCode>#,##0_);[Red]\(#,##0\)</c:formatCode>
                <c:ptCount val="34"/>
                <c:pt idx="0">
                  <c:v>116327.97756516001</c:v>
                </c:pt>
                <c:pt idx="1">
                  <c:v>220230.35631804683</c:v>
                </c:pt>
                <c:pt idx="2">
                  <c:v>297628.2604750907</c:v>
                </c:pt>
                <c:pt idx="3">
                  <c:v>348429.73523589573</c:v>
                </c:pt>
                <c:pt idx="4">
                  <c:v>387428.95034642029</c:v>
                </c:pt>
                <c:pt idx="5">
                  <c:v>423357.37660838</c:v>
                </c:pt>
                <c:pt idx="6">
                  <c:v>464840.37644671719</c:v>
                </c:pt>
                <c:pt idx="7">
                  <c:v>506323.37628505437</c:v>
                </c:pt>
                <c:pt idx="8">
                  <c:v>551487.87195480033</c:v>
                </c:pt>
                <c:pt idx="9">
                  <c:v>584859.28272269876</c:v>
                </c:pt>
                <c:pt idx="10">
                  <c:v>610732.33907373797</c:v>
                </c:pt>
                <c:pt idx="11">
                  <c:v>653733.1136233916</c:v>
                </c:pt>
                <c:pt idx="12">
                  <c:v>676648.18850021996</c:v>
                </c:pt>
                <c:pt idx="13">
                  <c:v>698585.54349252174</c:v>
                </c:pt>
                <c:pt idx="14">
                  <c:v>721500.61836935009</c:v>
                </c:pt>
                <c:pt idx="15">
                  <c:v>745448.10870807222</c:v>
                </c:pt>
                <c:pt idx="16">
                  <c:v>777640.72717612458</c:v>
                </c:pt>
                <c:pt idx="17">
                  <c:v>818706.50042477739</c:v>
                </c:pt>
                <c:pt idx="18">
                  <c:v>863870.72898289899</c:v>
                </c:pt>
                <c:pt idx="19">
                  <c:v>905211.96004102065</c:v>
                </c:pt>
                <c:pt idx="20">
                  <c:v>946018.32611877273</c:v>
                </c:pt>
                <c:pt idx="21">
                  <c:v>982359.55717689439</c:v>
                </c:pt>
                <c:pt idx="22">
                  <c:v>1013165.9232546465</c:v>
                </c:pt>
                <c:pt idx="23">
                  <c:v>1042007.1543127681</c:v>
                </c:pt>
                <c:pt idx="24">
                  <c:v>1070848.3853708897</c:v>
                </c:pt>
                <c:pt idx="25">
                  <c:v>1098085.0214879028</c:v>
                </c:pt>
                <c:pt idx="26">
                  <c:v>1126926.2525460245</c:v>
                </c:pt>
                <c:pt idx="27">
                  <c:v>1155232.6186237766</c:v>
                </c:pt>
                <c:pt idx="28">
                  <c:v>1182073.8496818983</c:v>
                </c:pt>
                <c:pt idx="29">
                  <c:v>1210880.2157596503</c:v>
                </c:pt>
                <c:pt idx="30">
                  <c:v>1247841.593885324</c:v>
                </c:pt>
                <c:pt idx="31">
                  <c:v>1287192.6270661361</c:v>
                </c:pt>
                <c:pt idx="32">
                  <c:v>1438748.1901993155</c:v>
                </c:pt>
              </c:numCache>
            </c:numRef>
          </c:val>
          <c:extLst>
            <c:ext xmlns:c16="http://schemas.microsoft.com/office/drawing/2014/chart" uri="{C3380CC4-5D6E-409C-BE32-E72D297353CC}">
              <c16:uniqueId val="{00000001-3874-4CC2-ABB0-152D550C9F95}"/>
            </c:ext>
          </c:extLst>
        </c:ser>
        <c:dLbls>
          <c:showLegendKey val="0"/>
          <c:showVal val="0"/>
          <c:showCatName val="0"/>
          <c:showSerName val="0"/>
          <c:showPercent val="0"/>
          <c:showBubbleSize val="0"/>
        </c:dLbls>
        <c:gapWidth val="247"/>
        <c:axId val="344535103"/>
        <c:axId val="344511807"/>
      </c:barChart>
      <c:lineChart>
        <c:grouping val="standard"/>
        <c:varyColors val="0"/>
        <c:ser>
          <c:idx val="0"/>
          <c:order val="0"/>
          <c:tx>
            <c:strRef>
              <c:f>'Large Project'!$D$113:$E$113</c:f>
              <c:strCache>
                <c:ptCount val="2"/>
                <c:pt idx="0">
                  <c:v>Monthly Cost With DLP Manager </c:v>
                </c:pt>
              </c:strCache>
            </c:strRef>
          </c:tx>
          <c:spPr>
            <a:ln w="15875" cap="rnd">
              <a:solidFill>
                <a:schemeClr val="accent1"/>
              </a:solidFill>
              <a:round/>
            </a:ln>
            <a:effectLst/>
          </c:spPr>
          <c:marker>
            <c:symbol val="none"/>
          </c:marker>
          <c:cat>
            <c:numRef>
              <c:f>'Large Project'!$F$112:$AN$112</c:f>
              <c:numCache>
                <c:formatCode>mmm\-yy</c:formatCode>
                <c:ptCount val="34"/>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numCache>
            </c:numRef>
          </c:cat>
          <c:val>
            <c:numRef>
              <c:f>'Large Project'!$F$113:$AN$113</c:f>
              <c:numCache>
                <c:formatCode>#,##0_);[Red]\(#,##0\)</c:formatCode>
                <c:ptCount val="34"/>
                <c:pt idx="0">
                  <c:v>66068.775981524261</c:v>
                </c:pt>
                <c:pt idx="1">
                  <c:v>55980.369515011545</c:v>
                </c:pt>
                <c:pt idx="2">
                  <c:v>51850.420653249756</c:v>
                </c:pt>
                <c:pt idx="3">
                  <c:v>40204.30550973276</c:v>
                </c:pt>
                <c:pt idx="4">
                  <c:v>26881.095348069943</c:v>
                </c:pt>
                <c:pt idx="5">
                  <c:v>26249.587594853183</c:v>
                </c:pt>
                <c:pt idx="6">
                  <c:v>17192.901270207854</c:v>
                </c:pt>
                <c:pt idx="7">
                  <c:v>14692.901270207853</c:v>
                </c:pt>
                <c:pt idx="8">
                  <c:v>12856.033487297922</c:v>
                </c:pt>
                <c:pt idx="9">
                  <c:v>14192.901270207853</c:v>
                </c:pt>
                <c:pt idx="10">
                  <c:v>13356.033487297922</c:v>
                </c:pt>
                <c:pt idx="11">
                  <c:v>21809.877367205543</c:v>
                </c:pt>
                <c:pt idx="12">
                  <c:v>3945.1605080831414</c:v>
                </c:pt>
                <c:pt idx="13">
                  <c:v>3819.6662817551969</c:v>
                </c:pt>
                <c:pt idx="14">
                  <c:v>3945.1605080831414</c:v>
                </c:pt>
                <c:pt idx="15">
                  <c:v>3882.4133949191687</c:v>
                </c:pt>
                <c:pt idx="16">
                  <c:v>3945.1605080831414</c:v>
                </c:pt>
                <c:pt idx="17">
                  <c:v>3882.4133949191687</c:v>
                </c:pt>
                <c:pt idx="18">
                  <c:v>4042.4185334872982</c:v>
                </c:pt>
                <c:pt idx="19">
                  <c:v>4042.4185334872982</c:v>
                </c:pt>
                <c:pt idx="20">
                  <c:v>3976.5340646651275</c:v>
                </c:pt>
                <c:pt idx="21">
                  <c:v>3021.2092667436491</c:v>
                </c:pt>
                <c:pt idx="22">
                  <c:v>2988.2670323325638</c:v>
                </c:pt>
                <c:pt idx="23">
                  <c:v>3021.2092667436491</c:v>
                </c:pt>
              </c:numCache>
            </c:numRef>
          </c:val>
          <c:smooth val="0"/>
          <c:extLst>
            <c:ext xmlns:c16="http://schemas.microsoft.com/office/drawing/2014/chart" uri="{C3380CC4-5D6E-409C-BE32-E72D297353CC}">
              <c16:uniqueId val="{00000002-3874-4CC2-ABB0-152D550C9F95}"/>
            </c:ext>
          </c:extLst>
        </c:ser>
        <c:ser>
          <c:idx val="2"/>
          <c:order val="2"/>
          <c:tx>
            <c:strRef>
              <c:f>'Large Project'!$D$115:$E$115</c:f>
              <c:strCache>
                <c:ptCount val="2"/>
                <c:pt idx="0">
                  <c:v>Monthly Cost Without DLP Manager </c:v>
                </c:pt>
              </c:strCache>
            </c:strRef>
          </c:tx>
          <c:spPr>
            <a:ln w="15875" cap="rnd">
              <a:solidFill>
                <a:schemeClr val="accent3"/>
              </a:solidFill>
              <a:round/>
            </a:ln>
            <a:effectLst/>
          </c:spPr>
          <c:marker>
            <c:symbol val="none"/>
          </c:marker>
          <c:cat>
            <c:numRef>
              <c:f>'Large Project'!$F$112:$AN$112</c:f>
              <c:numCache>
                <c:formatCode>mmm\-yy</c:formatCode>
                <c:ptCount val="34"/>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numCache>
            </c:numRef>
          </c:cat>
          <c:val>
            <c:numRef>
              <c:f>'Large Project'!$F$115:$AN$115</c:f>
              <c:numCache>
                <c:formatCode>#,##0_);[Red]\(#,##0\)</c:formatCode>
                <c:ptCount val="34"/>
                <c:pt idx="0">
                  <c:v>116327.97756516001</c:v>
                </c:pt>
                <c:pt idx="1">
                  <c:v>103902.37875288683</c:v>
                </c:pt>
                <c:pt idx="2">
                  <c:v>77397.904157043871</c:v>
                </c:pt>
                <c:pt idx="3">
                  <c:v>50801.474760805002</c:v>
                </c:pt>
                <c:pt idx="4">
                  <c:v>38999.215110524579</c:v>
                </c:pt>
                <c:pt idx="5">
                  <c:v>35928.426261959743</c:v>
                </c:pt>
                <c:pt idx="6">
                  <c:v>41482.999838337179</c:v>
                </c:pt>
                <c:pt idx="7">
                  <c:v>41482.999838337179</c:v>
                </c:pt>
                <c:pt idx="8">
                  <c:v>45164.495669745949</c:v>
                </c:pt>
                <c:pt idx="9">
                  <c:v>33371.410767898386</c:v>
                </c:pt>
                <c:pt idx="10">
                  <c:v>25873.05635103926</c:v>
                </c:pt>
                <c:pt idx="11">
                  <c:v>43000.774549653579</c:v>
                </c:pt>
                <c:pt idx="12">
                  <c:v>22915.07487682833</c:v>
                </c:pt>
                <c:pt idx="13">
                  <c:v>21937.354992301771</c:v>
                </c:pt>
                <c:pt idx="14">
                  <c:v>22915.07487682833</c:v>
                </c:pt>
                <c:pt idx="15">
                  <c:v>23947.490338722091</c:v>
                </c:pt>
                <c:pt idx="16">
                  <c:v>32192.618468052351</c:v>
                </c:pt>
                <c:pt idx="17">
                  <c:v>41065.773248652811</c:v>
                </c:pt>
                <c:pt idx="18">
                  <c:v>45164.228558121635</c:v>
                </c:pt>
                <c:pt idx="19">
                  <c:v>41341.23105812163</c:v>
                </c:pt>
                <c:pt idx="20">
                  <c:v>40806.366077752115</c:v>
                </c:pt>
                <c:pt idx="21">
                  <c:v>36341.23105812163</c:v>
                </c:pt>
                <c:pt idx="22">
                  <c:v>30806.366077752118</c:v>
                </c:pt>
                <c:pt idx="23">
                  <c:v>28841.231058121633</c:v>
                </c:pt>
                <c:pt idx="24">
                  <c:v>28841.231058121633</c:v>
                </c:pt>
                <c:pt idx="25">
                  <c:v>27236.636117013088</c:v>
                </c:pt>
                <c:pt idx="26">
                  <c:v>28841.231058121633</c:v>
                </c:pt>
                <c:pt idx="27">
                  <c:v>28306.366077752118</c:v>
                </c:pt>
                <c:pt idx="28">
                  <c:v>26841.231058121633</c:v>
                </c:pt>
                <c:pt idx="29">
                  <c:v>28806.366077752118</c:v>
                </c:pt>
                <c:pt idx="30">
                  <c:v>36961.378125673597</c:v>
                </c:pt>
                <c:pt idx="31">
                  <c:v>39351.03318081217</c:v>
                </c:pt>
                <c:pt idx="32">
                  <c:v>151555.56313317936</c:v>
                </c:pt>
              </c:numCache>
            </c:numRef>
          </c:val>
          <c:smooth val="0"/>
          <c:extLst>
            <c:ext xmlns:c16="http://schemas.microsoft.com/office/drawing/2014/chart" uri="{C3380CC4-5D6E-409C-BE32-E72D297353CC}">
              <c16:uniqueId val="{00000003-3874-4CC2-ABB0-152D550C9F95}"/>
            </c:ext>
          </c:extLst>
        </c:ser>
        <c:dLbls>
          <c:showLegendKey val="0"/>
          <c:showVal val="0"/>
          <c:showCatName val="0"/>
          <c:showSerName val="0"/>
          <c:showPercent val="0"/>
          <c:showBubbleSize val="0"/>
        </c:dLbls>
        <c:marker val="1"/>
        <c:smooth val="0"/>
        <c:axId val="2020145727"/>
        <c:axId val="2020148639"/>
      </c:lineChart>
      <c:catAx>
        <c:axId val="2020145727"/>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020148639"/>
        <c:crosses val="autoZero"/>
        <c:auto val="0"/>
        <c:lblAlgn val="ctr"/>
        <c:lblOffset val="100"/>
        <c:noMultiLvlLbl val="0"/>
      </c:catAx>
      <c:valAx>
        <c:axId val="20201486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AU"/>
                  <a:t>monthly costs </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020145727"/>
        <c:crosses val="autoZero"/>
        <c:crossBetween val="between"/>
      </c:valAx>
      <c:valAx>
        <c:axId val="344511807"/>
        <c:scaling>
          <c:orientation val="minMax"/>
        </c:scaling>
        <c:delete val="0"/>
        <c:axPos val="r"/>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AU"/>
                  <a:t>cumulative</a:t>
                </a:r>
                <a:r>
                  <a:rPr lang="en-AU" baseline="0"/>
                  <a:t> costs</a:t>
                </a:r>
                <a:endParaRPr lang="en-AU"/>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44535103"/>
        <c:crosses val="max"/>
        <c:crossBetween val="between"/>
      </c:valAx>
      <c:dateAx>
        <c:axId val="344535103"/>
        <c:scaling>
          <c:orientation val="minMax"/>
        </c:scaling>
        <c:delete val="1"/>
        <c:axPos val="b"/>
        <c:numFmt formatCode="mmm\-yy" sourceLinked="1"/>
        <c:majorTickMark val="out"/>
        <c:minorTickMark val="none"/>
        <c:tickLblPos val="nextTo"/>
        <c:crossAx val="344511807"/>
        <c:crosses val="autoZero"/>
        <c:auto val="1"/>
        <c:lblOffset val="100"/>
        <c:baseTimeUnit val="months"/>
        <c:majorUnit val="1"/>
        <c:minorUnit val="1"/>
      </c:dateAx>
      <c:spPr>
        <a:noFill/>
        <a:ln>
          <a:noFill/>
        </a:ln>
        <a:effectLst/>
      </c:spPr>
    </c:plotArea>
    <c:legend>
      <c:legendPos val="b"/>
      <c:layout>
        <c:manualLayout>
          <c:xMode val="edge"/>
          <c:yMode val="edge"/>
          <c:x val="0.15899384134247749"/>
          <c:y val="0.83747448470336405"/>
          <c:w val="0.68609963705458943"/>
          <c:h val="0.1452933227004355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AU"/>
              <a:t>Defect Management Costs </a:t>
            </a:r>
          </a:p>
          <a:p>
            <a:pPr>
              <a:defRPr sz="1400" b="0" i="0" u="none" strike="noStrike" kern="1200" cap="none" spc="20" baseline="0">
                <a:solidFill>
                  <a:schemeClr val="tx1">
                    <a:lumMod val="50000"/>
                    <a:lumOff val="50000"/>
                  </a:schemeClr>
                </a:solidFill>
                <a:latin typeface="+mn-lt"/>
                <a:ea typeface="+mn-ea"/>
                <a:cs typeface="+mn-cs"/>
              </a:defRPr>
            </a:pPr>
            <a:r>
              <a:rPr lang="en-AU"/>
              <a:t>Effective Management v Ineffective Management </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9.9573652858034184E-2"/>
          <c:y val="0.17839909813441823"/>
          <c:w val="0.81596723365419177"/>
          <c:h val="0.56607785078894923"/>
        </c:manualLayout>
      </c:layout>
      <c:barChart>
        <c:barDir val="col"/>
        <c:grouping val="clustered"/>
        <c:varyColors val="0"/>
        <c:ser>
          <c:idx val="1"/>
          <c:order val="1"/>
          <c:tx>
            <c:strRef>
              <c:f>'Medium Project'!$D$111:$E$111</c:f>
              <c:strCache>
                <c:ptCount val="2"/>
                <c:pt idx="0">
                  <c:v>Cumlative Cost With DLP Manager </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numRef>
              <c:f>'Medium Project'!$F$109:$AM$109</c:f>
              <c:numCache>
                <c:formatCode>mmm\-yy</c:formatCode>
                <c:ptCount val="33"/>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numCache>
            </c:numRef>
          </c:cat>
          <c:val>
            <c:numRef>
              <c:f>'Medium Project'!$F$111:$AM$111</c:f>
              <c:numCache>
                <c:formatCode>#,##0_);[Red]\(#,##0\)</c:formatCode>
                <c:ptCount val="33"/>
                <c:pt idx="0">
                  <c:v>43070.227647641048</c:v>
                </c:pt>
                <c:pt idx="1">
                  <c:v>77219.650280435511</c:v>
                </c:pt>
                <c:pt idx="2">
                  <c:v>115670.79676674366</c:v>
                </c:pt>
                <c:pt idx="3">
                  <c:v>148356.09864731113</c:v>
                </c:pt>
                <c:pt idx="4">
                  <c:v>171097.33916199274</c:v>
                </c:pt>
                <c:pt idx="5">
                  <c:v>194546.92675684593</c:v>
                </c:pt>
                <c:pt idx="6">
                  <c:v>209039.82802705379</c:v>
                </c:pt>
                <c:pt idx="7">
                  <c:v>222032.72929726166</c:v>
                </c:pt>
                <c:pt idx="8">
                  <c:v>233788.76278455957</c:v>
                </c:pt>
                <c:pt idx="9">
                  <c:v>246481.66405476743</c:v>
                </c:pt>
                <c:pt idx="10">
                  <c:v>258537.69754206535</c:v>
                </c:pt>
                <c:pt idx="11">
                  <c:v>278547.57490927092</c:v>
                </c:pt>
                <c:pt idx="12">
                  <c:v>281692.73541735404</c:v>
                </c:pt>
                <c:pt idx="13">
                  <c:v>284712.40169910924</c:v>
                </c:pt>
                <c:pt idx="14">
                  <c:v>287857.56220719236</c:v>
                </c:pt>
                <c:pt idx="15">
                  <c:v>290939.97560211155</c:v>
                </c:pt>
                <c:pt idx="16">
                  <c:v>294085.13611019467</c:v>
                </c:pt>
                <c:pt idx="17">
                  <c:v>297167.54950511386</c:v>
                </c:pt>
                <c:pt idx="18">
                  <c:v>300409.96803860116</c:v>
                </c:pt>
                <c:pt idx="19">
                  <c:v>303652.38657208846</c:v>
                </c:pt>
                <c:pt idx="20">
                  <c:v>306828.92063675361</c:v>
                </c:pt>
                <c:pt idx="21">
                  <c:v>309050.12990349723</c:v>
                </c:pt>
                <c:pt idx="22">
                  <c:v>311238.39693582978</c:v>
                </c:pt>
                <c:pt idx="23">
                  <c:v>313459.6062025734</c:v>
                </c:pt>
                <c:pt idx="24">
                  <c:v>313459.6062025734</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0-F34D-415C-AE7A-B9E6407EBEC6}"/>
            </c:ext>
          </c:extLst>
        </c:ser>
        <c:ser>
          <c:idx val="3"/>
          <c:order val="3"/>
          <c:tx>
            <c:strRef>
              <c:f>'Medium Project'!$D$113:$E$113</c:f>
              <c:strCache>
                <c:ptCount val="2"/>
                <c:pt idx="0">
                  <c:v>Cumlative Cost Without DLP Manager </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15875" cap="rnd" cmpd="sng" algn="ctr">
              <a:solidFill>
                <a:schemeClr val="accent1"/>
              </a:solidFill>
              <a:round/>
            </a:ln>
            <a:effectLst/>
          </c:spPr>
          <c:invertIfNegative val="0"/>
          <c:cat>
            <c:numRef>
              <c:f>'Medium Project'!$F$109:$AM$109</c:f>
              <c:numCache>
                <c:formatCode>mmm\-yy</c:formatCode>
                <c:ptCount val="33"/>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numCache>
            </c:numRef>
          </c:cat>
          <c:val>
            <c:numRef>
              <c:f>'Medium Project'!$F$113:$AM$113</c:f>
              <c:numCache>
                <c:formatCode>#,##0_);[Red]\(#,##0\)</c:formatCode>
                <c:ptCount val="33"/>
                <c:pt idx="0">
                  <c:v>75220.811613328944</c:v>
                </c:pt>
                <c:pt idx="1">
                  <c:v>144758.96403827122</c:v>
                </c:pt>
                <c:pt idx="2">
                  <c:v>194372.22698779285</c:v>
                </c:pt>
                <c:pt idx="3">
                  <c:v>227709.58759485322</c:v>
                </c:pt>
                <c:pt idx="4">
                  <c:v>251868.15374463878</c:v>
                </c:pt>
                <c:pt idx="5">
                  <c:v>272801.84889475425</c:v>
                </c:pt>
                <c:pt idx="6">
                  <c:v>302622.43448366883</c:v>
                </c:pt>
                <c:pt idx="7">
                  <c:v>332443.0200725834</c:v>
                </c:pt>
                <c:pt idx="8">
                  <c:v>366368.85610029701</c:v>
                </c:pt>
                <c:pt idx="9">
                  <c:v>390480.90021115151</c:v>
                </c:pt>
                <c:pt idx="10">
                  <c:v>408053.23462223698</c:v>
                </c:pt>
                <c:pt idx="11">
                  <c:v>435967.7255229298</c:v>
                </c:pt>
                <c:pt idx="12">
                  <c:v>452538.65441438474</c:v>
                </c:pt>
                <c:pt idx="13">
                  <c:v>468340.89434510068</c:v>
                </c:pt>
                <c:pt idx="14">
                  <c:v>484911.82323655568</c:v>
                </c:pt>
                <c:pt idx="15">
                  <c:v>502450.65245133627</c:v>
                </c:pt>
                <c:pt idx="16">
                  <c:v>525823.8423127681</c:v>
                </c:pt>
                <c:pt idx="17">
                  <c:v>554390.03411415382</c:v>
                </c:pt>
                <c:pt idx="18">
                  <c:v>585749.07096865727</c:v>
                </c:pt>
                <c:pt idx="19">
                  <c:v>613709.88782316074</c:v>
                </c:pt>
                <c:pt idx="20">
                  <c:v>641247.97671461571</c:v>
                </c:pt>
                <c:pt idx="21">
                  <c:v>666208.79356911918</c:v>
                </c:pt>
                <c:pt idx="22">
                  <c:v>687746.88246057415</c:v>
                </c:pt>
                <c:pt idx="23">
                  <c:v>708207.69931507763</c:v>
                </c:pt>
                <c:pt idx="24">
                  <c:v>728668.5161695811</c:v>
                </c:pt>
                <c:pt idx="25">
                  <c:v>747861.14913493907</c:v>
                </c:pt>
                <c:pt idx="26">
                  <c:v>768321.96598944254</c:v>
                </c:pt>
                <c:pt idx="27">
                  <c:v>788360.05488089751</c:v>
                </c:pt>
                <c:pt idx="28">
                  <c:v>807620.87173540099</c:v>
                </c:pt>
                <c:pt idx="29">
                  <c:v>827958.96062685596</c:v>
                </c:pt>
                <c:pt idx="30">
                  <c:v>855493.24154140567</c:v>
                </c:pt>
                <c:pt idx="31">
                  <c:v>885151.66028274514</c:v>
                </c:pt>
                <c:pt idx="32">
                  <c:v>979933.47989013547</c:v>
                </c:pt>
              </c:numCache>
            </c:numRef>
          </c:val>
          <c:extLst>
            <c:ext xmlns:c16="http://schemas.microsoft.com/office/drawing/2014/chart" uri="{C3380CC4-5D6E-409C-BE32-E72D297353CC}">
              <c16:uniqueId val="{00000001-F34D-415C-AE7A-B9E6407EBEC6}"/>
            </c:ext>
          </c:extLst>
        </c:ser>
        <c:dLbls>
          <c:showLegendKey val="0"/>
          <c:showVal val="0"/>
          <c:showCatName val="0"/>
          <c:showSerName val="0"/>
          <c:showPercent val="0"/>
          <c:showBubbleSize val="0"/>
        </c:dLbls>
        <c:gapWidth val="247"/>
        <c:axId val="344535103"/>
        <c:axId val="344511807"/>
      </c:barChart>
      <c:lineChart>
        <c:grouping val="standard"/>
        <c:varyColors val="0"/>
        <c:ser>
          <c:idx val="0"/>
          <c:order val="0"/>
          <c:tx>
            <c:strRef>
              <c:f>'Medium Project'!$D$110:$E$110</c:f>
              <c:strCache>
                <c:ptCount val="2"/>
                <c:pt idx="0">
                  <c:v>Monthly Cost With DLP Manager </c:v>
                </c:pt>
              </c:strCache>
            </c:strRef>
          </c:tx>
          <c:spPr>
            <a:ln w="15875" cap="rnd">
              <a:solidFill>
                <a:schemeClr val="accent1"/>
              </a:solidFill>
              <a:round/>
            </a:ln>
            <a:effectLst/>
          </c:spPr>
          <c:marker>
            <c:symbol val="none"/>
          </c:marker>
          <c:cat>
            <c:numRef>
              <c:f>'Medium Project'!$F$109:$AM$109</c:f>
              <c:numCache>
                <c:formatCode>mmm\-yy</c:formatCode>
                <c:ptCount val="33"/>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numCache>
            </c:numRef>
          </c:cat>
          <c:val>
            <c:numRef>
              <c:f>'Medium Project'!$F$110:$AM$110</c:f>
              <c:numCache>
                <c:formatCode>#,##0_);[Red]\(#,##0\)</c:formatCode>
                <c:ptCount val="33"/>
                <c:pt idx="0">
                  <c:v>43070.227647641048</c:v>
                </c:pt>
                <c:pt idx="1">
                  <c:v>34149.422632794456</c:v>
                </c:pt>
                <c:pt idx="2">
                  <c:v>38451.146486308149</c:v>
                </c:pt>
                <c:pt idx="3">
                  <c:v>32685.301880567469</c:v>
                </c:pt>
                <c:pt idx="4">
                  <c:v>22741.240514681624</c:v>
                </c:pt>
                <c:pt idx="5">
                  <c:v>23449.587594853183</c:v>
                </c:pt>
                <c:pt idx="6">
                  <c:v>14492.901270207853</c:v>
                </c:pt>
                <c:pt idx="7">
                  <c:v>12992.901270207853</c:v>
                </c:pt>
                <c:pt idx="8">
                  <c:v>11756.033487297922</c:v>
                </c:pt>
                <c:pt idx="9">
                  <c:v>12692.901270207853</c:v>
                </c:pt>
                <c:pt idx="10">
                  <c:v>12056.033487297922</c:v>
                </c:pt>
                <c:pt idx="11">
                  <c:v>20009.877367205543</c:v>
                </c:pt>
                <c:pt idx="12">
                  <c:v>3145.1605080831414</c:v>
                </c:pt>
                <c:pt idx="13">
                  <c:v>3019.6662817551969</c:v>
                </c:pt>
                <c:pt idx="14">
                  <c:v>3145.1605080831414</c:v>
                </c:pt>
                <c:pt idx="15">
                  <c:v>3082.4133949191687</c:v>
                </c:pt>
                <c:pt idx="16">
                  <c:v>3145.1605080831414</c:v>
                </c:pt>
                <c:pt idx="17">
                  <c:v>3082.4133949191687</c:v>
                </c:pt>
                <c:pt idx="18">
                  <c:v>3242.4185334872982</c:v>
                </c:pt>
                <c:pt idx="19">
                  <c:v>3242.4185334872982</c:v>
                </c:pt>
                <c:pt idx="20">
                  <c:v>3176.5340646651275</c:v>
                </c:pt>
                <c:pt idx="21">
                  <c:v>2221.2092667436491</c:v>
                </c:pt>
                <c:pt idx="22">
                  <c:v>2188.2670323325638</c:v>
                </c:pt>
                <c:pt idx="23">
                  <c:v>2221.2092667436491</c:v>
                </c:pt>
              </c:numCache>
            </c:numRef>
          </c:val>
          <c:smooth val="0"/>
          <c:extLst>
            <c:ext xmlns:c16="http://schemas.microsoft.com/office/drawing/2014/chart" uri="{C3380CC4-5D6E-409C-BE32-E72D297353CC}">
              <c16:uniqueId val="{00000002-F34D-415C-AE7A-B9E6407EBEC6}"/>
            </c:ext>
          </c:extLst>
        </c:ser>
        <c:ser>
          <c:idx val="2"/>
          <c:order val="2"/>
          <c:tx>
            <c:strRef>
              <c:f>'Medium Project'!$D$112:$E$112</c:f>
              <c:strCache>
                <c:ptCount val="2"/>
                <c:pt idx="0">
                  <c:v>Monthly Cost Without DLP Manager </c:v>
                </c:pt>
              </c:strCache>
            </c:strRef>
          </c:tx>
          <c:spPr>
            <a:ln w="15875" cap="rnd">
              <a:solidFill>
                <a:schemeClr val="accent3"/>
              </a:solidFill>
              <a:round/>
            </a:ln>
            <a:effectLst/>
          </c:spPr>
          <c:marker>
            <c:symbol val="none"/>
          </c:marker>
          <c:cat>
            <c:numRef>
              <c:f>'Medium Project'!$F$109:$AM$109</c:f>
              <c:numCache>
                <c:formatCode>mmm\-yy</c:formatCode>
                <c:ptCount val="33"/>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numCache>
            </c:numRef>
          </c:cat>
          <c:val>
            <c:numRef>
              <c:f>'Medium Project'!$F$112:$AM$112</c:f>
              <c:numCache>
                <c:formatCode>#,##0_);[Red]\(#,##0\)</c:formatCode>
                <c:ptCount val="33"/>
                <c:pt idx="0">
                  <c:v>75220.811613328944</c:v>
                </c:pt>
                <c:pt idx="1">
                  <c:v>69538.152424942265</c:v>
                </c:pt>
                <c:pt idx="2">
                  <c:v>49613.262949521617</c:v>
                </c:pt>
                <c:pt idx="3">
                  <c:v>33337.360607060378</c:v>
                </c:pt>
                <c:pt idx="4">
                  <c:v>24158.566149785551</c:v>
                </c:pt>
                <c:pt idx="5">
                  <c:v>20933.695150115476</c:v>
                </c:pt>
                <c:pt idx="6">
                  <c:v>29820.58558891455</c:v>
                </c:pt>
                <c:pt idx="7">
                  <c:v>29820.58558891455</c:v>
                </c:pt>
                <c:pt idx="8">
                  <c:v>33925.836027713623</c:v>
                </c:pt>
                <c:pt idx="9">
                  <c:v>24112.044110854509</c:v>
                </c:pt>
                <c:pt idx="10">
                  <c:v>17572.334411085452</c:v>
                </c:pt>
                <c:pt idx="11">
                  <c:v>27914.490900692843</c:v>
                </c:pt>
                <c:pt idx="12">
                  <c:v>16570.928891454969</c:v>
                </c:pt>
                <c:pt idx="13">
                  <c:v>15802.239930715938</c:v>
                </c:pt>
                <c:pt idx="14">
                  <c:v>16570.928891454969</c:v>
                </c:pt>
                <c:pt idx="15">
                  <c:v>17538.829214780602</c:v>
                </c:pt>
                <c:pt idx="16">
                  <c:v>23373.189861431871</c:v>
                </c:pt>
                <c:pt idx="17">
                  <c:v>28566.191801385681</c:v>
                </c:pt>
                <c:pt idx="18">
                  <c:v>31359.036854503465</c:v>
                </c:pt>
                <c:pt idx="19">
                  <c:v>27960.816854503464</c:v>
                </c:pt>
                <c:pt idx="20">
                  <c:v>27538.088891454965</c:v>
                </c:pt>
                <c:pt idx="21">
                  <c:v>24960.816854503464</c:v>
                </c:pt>
                <c:pt idx="22">
                  <c:v>21538.088891454965</c:v>
                </c:pt>
                <c:pt idx="23">
                  <c:v>20460.816854503464</c:v>
                </c:pt>
                <c:pt idx="24">
                  <c:v>20460.816854503464</c:v>
                </c:pt>
                <c:pt idx="25">
                  <c:v>19192.632965357967</c:v>
                </c:pt>
                <c:pt idx="26">
                  <c:v>20460.816854503464</c:v>
                </c:pt>
                <c:pt idx="27">
                  <c:v>20038.088891454965</c:v>
                </c:pt>
                <c:pt idx="28">
                  <c:v>19260.816854503464</c:v>
                </c:pt>
                <c:pt idx="29">
                  <c:v>20338.088891454965</c:v>
                </c:pt>
                <c:pt idx="30">
                  <c:v>27534.280914549658</c:v>
                </c:pt>
                <c:pt idx="31">
                  <c:v>29658.418741339498</c:v>
                </c:pt>
                <c:pt idx="32">
                  <c:v>94781.819607390309</c:v>
                </c:pt>
              </c:numCache>
            </c:numRef>
          </c:val>
          <c:smooth val="0"/>
          <c:extLst>
            <c:ext xmlns:c16="http://schemas.microsoft.com/office/drawing/2014/chart" uri="{C3380CC4-5D6E-409C-BE32-E72D297353CC}">
              <c16:uniqueId val="{00000003-F34D-415C-AE7A-B9E6407EBEC6}"/>
            </c:ext>
          </c:extLst>
        </c:ser>
        <c:dLbls>
          <c:showLegendKey val="0"/>
          <c:showVal val="0"/>
          <c:showCatName val="0"/>
          <c:showSerName val="0"/>
          <c:showPercent val="0"/>
          <c:showBubbleSize val="0"/>
        </c:dLbls>
        <c:marker val="1"/>
        <c:smooth val="0"/>
        <c:axId val="2020145727"/>
        <c:axId val="2020148639"/>
      </c:lineChart>
      <c:catAx>
        <c:axId val="2020145727"/>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020148639"/>
        <c:crosses val="autoZero"/>
        <c:auto val="0"/>
        <c:lblAlgn val="ctr"/>
        <c:lblOffset val="100"/>
        <c:noMultiLvlLbl val="0"/>
      </c:catAx>
      <c:valAx>
        <c:axId val="20201486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AU"/>
                  <a:t>Monthly costs</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020145727"/>
        <c:crosses val="autoZero"/>
        <c:crossBetween val="between"/>
      </c:valAx>
      <c:valAx>
        <c:axId val="344511807"/>
        <c:scaling>
          <c:orientation val="minMax"/>
        </c:scaling>
        <c:delete val="0"/>
        <c:axPos val="r"/>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AU"/>
                  <a:t>cumulative costs </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44535103"/>
        <c:crosses val="max"/>
        <c:crossBetween val="between"/>
      </c:valAx>
      <c:dateAx>
        <c:axId val="344535103"/>
        <c:scaling>
          <c:orientation val="minMax"/>
        </c:scaling>
        <c:delete val="1"/>
        <c:axPos val="b"/>
        <c:numFmt formatCode="mmm\-yy" sourceLinked="1"/>
        <c:majorTickMark val="out"/>
        <c:minorTickMark val="none"/>
        <c:tickLblPos val="nextTo"/>
        <c:crossAx val="344511807"/>
        <c:crosses val="autoZero"/>
        <c:auto val="1"/>
        <c:lblOffset val="100"/>
        <c:baseTimeUnit val="months"/>
        <c:majorUnit val="1"/>
        <c:minorUnit val="1"/>
      </c:dateAx>
      <c:spPr>
        <a:noFill/>
        <a:ln>
          <a:noFill/>
        </a:ln>
        <a:effectLst/>
      </c:spPr>
    </c:plotArea>
    <c:legend>
      <c:legendPos val="b"/>
      <c:layout>
        <c:manualLayout>
          <c:xMode val="edge"/>
          <c:yMode val="edge"/>
          <c:x val="0.15899384134247749"/>
          <c:y val="0.83747448470336405"/>
          <c:w val="0.68609963705458943"/>
          <c:h val="0.1452933227004355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AU"/>
              <a:t>Defect Management Costs </a:t>
            </a:r>
          </a:p>
          <a:p>
            <a:pPr>
              <a:defRPr sz="1400" b="0" i="0" u="none" strike="noStrike" kern="1200" cap="none" spc="20" baseline="0">
                <a:solidFill>
                  <a:schemeClr val="tx1">
                    <a:lumMod val="50000"/>
                    <a:lumOff val="50000"/>
                  </a:schemeClr>
                </a:solidFill>
                <a:latin typeface="+mn-lt"/>
                <a:ea typeface="+mn-ea"/>
                <a:cs typeface="+mn-cs"/>
              </a:defRPr>
            </a:pPr>
            <a:r>
              <a:rPr lang="en-AU"/>
              <a:t>Effective Management v Ineffective Management </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9.9573652858034184E-2"/>
          <c:y val="0.17839909813441823"/>
          <c:w val="0.81869715080795635"/>
          <c:h val="0.56607785078894923"/>
        </c:manualLayout>
      </c:layout>
      <c:barChart>
        <c:barDir val="col"/>
        <c:grouping val="clustered"/>
        <c:varyColors val="0"/>
        <c:ser>
          <c:idx val="1"/>
          <c:order val="1"/>
          <c:tx>
            <c:strRef>
              <c:f>'Small Project'!$D$105:$E$105</c:f>
              <c:strCache>
                <c:ptCount val="2"/>
                <c:pt idx="0">
                  <c:v>Cumlative Cost With DLP Manager </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numRef>
              <c:f>'Small Project'!$F$103:$AN$103</c:f>
              <c:numCache>
                <c:formatCode>mmm\-yy</c:formatCode>
                <c:ptCount val="34"/>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numCache>
            </c:numRef>
          </c:cat>
          <c:val>
            <c:numRef>
              <c:f>'Small Project'!$F$105:$AM$105</c:f>
              <c:numCache>
                <c:formatCode>#,##0_);[Red]\(#,##0\)</c:formatCode>
                <c:ptCount val="33"/>
                <c:pt idx="0">
                  <c:v>24094.889475420652</c:v>
                </c:pt>
                <c:pt idx="1">
                  <c:v>44494.889475420656</c:v>
                </c:pt>
                <c:pt idx="2">
                  <c:v>67402.032332563511</c:v>
                </c:pt>
                <c:pt idx="3">
                  <c:v>89548.460903992091</c:v>
                </c:pt>
                <c:pt idx="4">
                  <c:v>101602.03233256353</c:v>
                </c:pt>
                <c:pt idx="5">
                  <c:v>113987.74661827782</c:v>
                </c:pt>
                <c:pt idx="6">
                  <c:v>121592.74661827782</c:v>
                </c:pt>
                <c:pt idx="7">
                  <c:v>128447.74661827782</c:v>
                </c:pt>
                <c:pt idx="8">
                  <c:v>134672.74661827783</c:v>
                </c:pt>
                <c:pt idx="9">
                  <c:v>141377.74661827783</c:v>
                </c:pt>
                <c:pt idx="10">
                  <c:v>147752.74661827783</c:v>
                </c:pt>
                <c:pt idx="11">
                  <c:v>159042.24082151108</c:v>
                </c:pt>
                <c:pt idx="12">
                  <c:v>161874.24082151108</c:v>
                </c:pt>
                <c:pt idx="13">
                  <c:v>164562.24082151108</c:v>
                </c:pt>
                <c:pt idx="14">
                  <c:v>167394.24082151108</c:v>
                </c:pt>
                <c:pt idx="15">
                  <c:v>170154.24082151108</c:v>
                </c:pt>
                <c:pt idx="16">
                  <c:v>172986.24082151108</c:v>
                </c:pt>
                <c:pt idx="17">
                  <c:v>175746.24082151108</c:v>
                </c:pt>
                <c:pt idx="18">
                  <c:v>178689.84082151108</c:v>
                </c:pt>
                <c:pt idx="19">
                  <c:v>181633.44082151109</c:v>
                </c:pt>
                <c:pt idx="20">
                  <c:v>184501.44082151109</c:v>
                </c:pt>
                <c:pt idx="21">
                  <c:v>186273.24082151108</c:v>
                </c:pt>
                <c:pt idx="22">
                  <c:v>188007.24082151108</c:v>
                </c:pt>
                <c:pt idx="23">
                  <c:v>189779.04082151107</c:v>
                </c:pt>
                <c:pt idx="24">
                  <c:v>189779.04082151107</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0-A6CA-4970-B11D-875A64312C8B}"/>
            </c:ext>
          </c:extLst>
        </c:ser>
        <c:ser>
          <c:idx val="3"/>
          <c:order val="3"/>
          <c:tx>
            <c:strRef>
              <c:f>'Small Project'!$D$107:$E$107</c:f>
              <c:strCache>
                <c:ptCount val="2"/>
                <c:pt idx="0">
                  <c:v>Cumlative Cost Without DLP Manager </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numRef>
              <c:f>'Small Project'!$F$103:$AN$103</c:f>
              <c:numCache>
                <c:formatCode>mmm\-yy</c:formatCode>
                <c:ptCount val="34"/>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numCache>
            </c:numRef>
          </c:cat>
          <c:val>
            <c:numRef>
              <c:f>'Small Project'!$F$107:$AM$107</c:f>
              <c:numCache>
                <c:formatCode>#,##0_);[Red]\(#,##0\)</c:formatCode>
                <c:ptCount val="33"/>
                <c:pt idx="0">
                  <c:v>51704.68822170901</c:v>
                </c:pt>
                <c:pt idx="1">
                  <c:v>99252.47113163973</c:v>
                </c:pt>
                <c:pt idx="2">
                  <c:v>134544.81524249422</c:v>
                </c:pt>
                <c:pt idx="3">
                  <c:v>159207.70207852195</c:v>
                </c:pt>
                <c:pt idx="4">
                  <c:v>176506.01616628177</c:v>
                </c:pt>
                <c:pt idx="5">
                  <c:v>190438.10623556582</c:v>
                </c:pt>
                <c:pt idx="6">
                  <c:v>209099.21360277137</c:v>
                </c:pt>
                <c:pt idx="7">
                  <c:v>227760.32096997692</c:v>
                </c:pt>
                <c:pt idx="8">
                  <c:v>250441.82183602772</c:v>
                </c:pt>
                <c:pt idx="9">
                  <c:v>268141.78676097002</c:v>
                </c:pt>
                <c:pt idx="10">
                  <c:v>280187.38710739033</c:v>
                </c:pt>
                <c:pt idx="11">
                  <c:v>297383.00746535801</c:v>
                </c:pt>
                <c:pt idx="12">
                  <c:v>308032.15282332565</c:v>
                </c:pt>
                <c:pt idx="13">
                  <c:v>318144.45815819863</c:v>
                </c:pt>
                <c:pt idx="14">
                  <c:v>328793.60351616627</c:v>
                </c:pt>
                <c:pt idx="15">
                  <c:v>337617.04306581983</c:v>
                </c:pt>
                <c:pt idx="16">
                  <c:v>348156.99310046184</c:v>
                </c:pt>
                <c:pt idx="17">
                  <c:v>361330.4326501154</c:v>
                </c:pt>
                <c:pt idx="18">
                  <c:v>375805.97393648955</c:v>
                </c:pt>
                <c:pt idx="19">
                  <c:v>390281.5152228637</c:v>
                </c:pt>
                <c:pt idx="20">
                  <c:v>404529.72049999994</c:v>
                </c:pt>
                <c:pt idx="21">
                  <c:v>417505.26178637409</c:v>
                </c:pt>
                <c:pt idx="22">
                  <c:v>428753.46706351032</c:v>
                </c:pt>
                <c:pt idx="23">
                  <c:v>439479.00834988448</c:v>
                </c:pt>
                <c:pt idx="24">
                  <c:v>450204.54963625863</c:v>
                </c:pt>
                <c:pt idx="25">
                  <c:v>460248.08289491915</c:v>
                </c:pt>
                <c:pt idx="26">
                  <c:v>470973.6241812933</c:v>
                </c:pt>
                <c:pt idx="27">
                  <c:v>481471.82945842954</c:v>
                </c:pt>
                <c:pt idx="28">
                  <c:v>491597.37074480369</c:v>
                </c:pt>
                <c:pt idx="29">
                  <c:v>502245.57602193992</c:v>
                </c:pt>
                <c:pt idx="30">
                  <c:v>516838.35850519629</c:v>
                </c:pt>
                <c:pt idx="31">
                  <c:v>533289.7615868937</c:v>
                </c:pt>
                <c:pt idx="32">
                  <c:v>579937.96686402999</c:v>
                </c:pt>
              </c:numCache>
            </c:numRef>
          </c:val>
          <c:extLst>
            <c:ext xmlns:c16="http://schemas.microsoft.com/office/drawing/2014/chart" uri="{C3380CC4-5D6E-409C-BE32-E72D297353CC}">
              <c16:uniqueId val="{00000001-A6CA-4970-B11D-875A64312C8B}"/>
            </c:ext>
          </c:extLst>
        </c:ser>
        <c:dLbls>
          <c:showLegendKey val="0"/>
          <c:showVal val="0"/>
          <c:showCatName val="0"/>
          <c:showSerName val="0"/>
          <c:showPercent val="0"/>
          <c:showBubbleSize val="0"/>
        </c:dLbls>
        <c:gapWidth val="247"/>
        <c:axId val="344535103"/>
        <c:axId val="344511807"/>
      </c:barChart>
      <c:lineChart>
        <c:grouping val="standard"/>
        <c:varyColors val="0"/>
        <c:ser>
          <c:idx val="0"/>
          <c:order val="0"/>
          <c:tx>
            <c:strRef>
              <c:f>'Small Project'!$D$104:$E$104</c:f>
              <c:strCache>
                <c:ptCount val="2"/>
                <c:pt idx="0">
                  <c:v>Monthly Cost With DLP Manager </c:v>
                </c:pt>
              </c:strCache>
            </c:strRef>
          </c:tx>
          <c:spPr>
            <a:ln w="15875" cap="rnd">
              <a:solidFill>
                <a:schemeClr val="accent1"/>
              </a:solidFill>
              <a:round/>
            </a:ln>
            <a:effectLst/>
          </c:spPr>
          <c:marker>
            <c:symbol val="none"/>
          </c:marker>
          <c:cat>
            <c:numRef>
              <c:f>'Small Project'!$F$103:$AM$103</c:f>
              <c:numCache>
                <c:formatCode>mmm\-yy</c:formatCode>
                <c:ptCount val="33"/>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numCache>
            </c:numRef>
          </c:cat>
          <c:val>
            <c:numRef>
              <c:f>'Small Project'!$F$104:$AM$104</c:f>
              <c:numCache>
                <c:formatCode>#,##0_);[Red]\(#,##0\)</c:formatCode>
                <c:ptCount val="33"/>
                <c:pt idx="0">
                  <c:v>24094.889475420652</c:v>
                </c:pt>
                <c:pt idx="1">
                  <c:v>20400</c:v>
                </c:pt>
                <c:pt idx="2">
                  <c:v>22907.142857142859</c:v>
                </c:pt>
                <c:pt idx="3">
                  <c:v>22146.428571428572</c:v>
                </c:pt>
                <c:pt idx="4">
                  <c:v>12053.571428571429</c:v>
                </c:pt>
                <c:pt idx="5">
                  <c:v>12385.714285714286</c:v>
                </c:pt>
                <c:pt idx="6">
                  <c:v>7605.0000000000009</c:v>
                </c:pt>
                <c:pt idx="7">
                  <c:v>6855.0000000000009</c:v>
                </c:pt>
                <c:pt idx="8">
                  <c:v>6225.0000000000009</c:v>
                </c:pt>
                <c:pt idx="9">
                  <c:v>6705.0000000000009</c:v>
                </c:pt>
                <c:pt idx="10">
                  <c:v>6375.0000000000009</c:v>
                </c:pt>
                <c:pt idx="11">
                  <c:v>11289.494203233258</c:v>
                </c:pt>
                <c:pt idx="12">
                  <c:v>2832</c:v>
                </c:pt>
                <c:pt idx="13">
                  <c:v>2688</c:v>
                </c:pt>
                <c:pt idx="14">
                  <c:v>2832</c:v>
                </c:pt>
                <c:pt idx="15">
                  <c:v>2760</c:v>
                </c:pt>
                <c:pt idx="16">
                  <c:v>2832</c:v>
                </c:pt>
                <c:pt idx="17">
                  <c:v>2760</c:v>
                </c:pt>
                <c:pt idx="18">
                  <c:v>2943.6000000000004</c:v>
                </c:pt>
                <c:pt idx="19">
                  <c:v>2943.6000000000004</c:v>
                </c:pt>
                <c:pt idx="20">
                  <c:v>2868</c:v>
                </c:pt>
                <c:pt idx="21">
                  <c:v>1771.8000000000002</c:v>
                </c:pt>
                <c:pt idx="22">
                  <c:v>1734</c:v>
                </c:pt>
                <c:pt idx="23">
                  <c:v>1771.8000000000002</c:v>
                </c:pt>
              </c:numCache>
            </c:numRef>
          </c:val>
          <c:smooth val="0"/>
          <c:extLst>
            <c:ext xmlns:c16="http://schemas.microsoft.com/office/drawing/2014/chart" uri="{C3380CC4-5D6E-409C-BE32-E72D297353CC}">
              <c16:uniqueId val="{00000002-A6CA-4970-B11D-875A64312C8B}"/>
            </c:ext>
          </c:extLst>
        </c:ser>
        <c:ser>
          <c:idx val="2"/>
          <c:order val="2"/>
          <c:tx>
            <c:strRef>
              <c:f>'Small Project'!$D$106:$E$106</c:f>
              <c:strCache>
                <c:ptCount val="2"/>
                <c:pt idx="0">
                  <c:v>Monthly Cost Without DLP Manager </c:v>
                </c:pt>
              </c:strCache>
            </c:strRef>
          </c:tx>
          <c:spPr>
            <a:ln w="15875" cap="rnd">
              <a:solidFill>
                <a:schemeClr val="accent3"/>
              </a:solidFill>
              <a:round/>
            </a:ln>
            <a:effectLst/>
          </c:spPr>
          <c:marker>
            <c:symbol val="none"/>
          </c:marker>
          <c:cat>
            <c:numRef>
              <c:f>'Small Project'!$F$103:$AM$103</c:f>
              <c:numCache>
                <c:formatCode>mmm\-yy</c:formatCode>
                <c:ptCount val="33"/>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numCache>
            </c:numRef>
          </c:cat>
          <c:val>
            <c:numRef>
              <c:f>'Small Project'!$F$106:$AM$106</c:f>
              <c:numCache>
                <c:formatCode>#,##0_);[Red]\(#,##0\)</c:formatCode>
                <c:ptCount val="33"/>
                <c:pt idx="0">
                  <c:v>51704.68822170901</c:v>
                </c:pt>
                <c:pt idx="1">
                  <c:v>47547.782909930713</c:v>
                </c:pt>
                <c:pt idx="2">
                  <c:v>35292.344110854501</c:v>
                </c:pt>
                <c:pt idx="3">
                  <c:v>24662.886836027712</c:v>
                </c:pt>
                <c:pt idx="4">
                  <c:v>17298.314087759813</c:v>
                </c:pt>
                <c:pt idx="5">
                  <c:v>13932.090069284064</c:v>
                </c:pt>
                <c:pt idx="6">
                  <c:v>18661.107367205546</c:v>
                </c:pt>
                <c:pt idx="7">
                  <c:v>18661.107367205546</c:v>
                </c:pt>
                <c:pt idx="8">
                  <c:v>22681.500866050807</c:v>
                </c:pt>
                <c:pt idx="9">
                  <c:v>17699.964924942265</c:v>
                </c:pt>
                <c:pt idx="10">
                  <c:v>12045.600346420324</c:v>
                </c:pt>
                <c:pt idx="11">
                  <c:v>17195.620357967669</c:v>
                </c:pt>
                <c:pt idx="12">
                  <c:v>10649.145357967667</c:v>
                </c:pt>
                <c:pt idx="13">
                  <c:v>10112.305334872981</c:v>
                </c:pt>
                <c:pt idx="14">
                  <c:v>10649.145357967667</c:v>
                </c:pt>
                <c:pt idx="15">
                  <c:v>8823.4395496535799</c:v>
                </c:pt>
                <c:pt idx="16">
                  <c:v>10539.950034642032</c:v>
                </c:pt>
                <c:pt idx="17">
                  <c:v>13173.43954965358</c:v>
                </c:pt>
                <c:pt idx="18">
                  <c:v>14475.541286374133</c:v>
                </c:pt>
                <c:pt idx="19">
                  <c:v>14475.541286374133</c:v>
                </c:pt>
                <c:pt idx="20">
                  <c:v>14248.205277136258</c:v>
                </c:pt>
                <c:pt idx="21">
                  <c:v>12975.541286374133</c:v>
                </c:pt>
                <c:pt idx="22">
                  <c:v>11248.205277136258</c:v>
                </c:pt>
                <c:pt idx="23">
                  <c:v>10725.541286374133</c:v>
                </c:pt>
                <c:pt idx="24">
                  <c:v>10725.541286374133</c:v>
                </c:pt>
                <c:pt idx="25">
                  <c:v>10043.533258660507</c:v>
                </c:pt>
                <c:pt idx="26">
                  <c:v>10725.541286374133</c:v>
                </c:pt>
                <c:pt idx="27">
                  <c:v>10498.205277136258</c:v>
                </c:pt>
                <c:pt idx="28">
                  <c:v>10125.541286374133</c:v>
                </c:pt>
                <c:pt idx="29">
                  <c:v>10648.205277136258</c:v>
                </c:pt>
                <c:pt idx="30">
                  <c:v>14592.782483256353</c:v>
                </c:pt>
                <c:pt idx="31">
                  <c:v>16451.403081697459</c:v>
                </c:pt>
                <c:pt idx="32">
                  <c:v>46648.205277136265</c:v>
                </c:pt>
              </c:numCache>
            </c:numRef>
          </c:val>
          <c:smooth val="0"/>
          <c:extLst>
            <c:ext xmlns:c16="http://schemas.microsoft.com/office/drawing/2014/chart" uri="{C3380CC4-5D6E-409C-BE32-E72D297353CC}">
              <c16:uniqueId val="{00000003-A6CA-4970-B11D-875A64312C8B}"/>
            </c:ext>
          </c:extLst>
        </c:ser>
        <c:dLbls>
          <c:showLegendKey val="0"/>
          <c:showVal val="0"/>
          <c:showCatName val="0"/>
          <c:showSerName val="0"/>
          <c:showPercent val="0"/>
          <c:showBubbleSize val="0"/>
        </c:dLbls>
        <c:marker val="1"/>
        <c:smooth val="0"/>
        <c:axId val="2020145727"/>
        <c:axId val="2020148639"/>
      </c:lineChart>
      <c:catAx>
        <c:axId val="2020145727"/>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020148639"/>
        <c:crosses val="autoZero"/>
        <c:auto val="0"/>
        <c:lblAlgn val="ctr"/>
        <c:lblOffset val="100"/>
        <c:noMultiLvlLbl val="0"/>
      </c:catAx>
      <c:valAx>
        <c:axId val="20201486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AU"/>
                  <a:t>monthly costs</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020145727"/>
        <c:crosses val="autoZero"/>
        <c:crossBetween val="between"/>
      </c:valAx>
      <c:valAx>
        <c:axId val="344511807"/>
        <c:scaling>
          <c:orientation val="minMax"/>
        </c:scaling>
        <c:delete val="0"/>
        <c:axPos val="r"/>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AU"/>
                  <a:t>cumulative costs</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44535103"/>
        <c:crosses val="max"/>
        <c:crossBetween val="between"/>
      </c:valAx>
      <c:dateAx>
        <c:axId val="344535103"/>
        <c:scaling>
          <c:orientation val="minMax"/>
        </c:scaling>
        <c:delete val="1"/>
        <c:axPos val="b"/>
        <c:numFmt formatCode="mmm\-yy" sourceLinked="1"/>
        <c:majorTickMark val="out"/>
        <c:minorTickMark val="none"/>
        <c:tickLblPos val="nextTo"/>
        <c:crossAx val="344511807"/>
        <c:crosses val="autoZero"/>
        <c:auto val="1"/>
        <c:lblOffset val="100"/>
        <c:baseTimeUnit val="months"/>
        <c:majorUnit val="1"/>
        <c:minorUnit val="1"/>
      </c:dateAx>
      <c:spPr>
        <a:noFill/>
        <a:ln>
          <a:noFill/>
        </a:ln>
        <a:effectLst/>
      </c:spPr>
    </c:plotArea>
    <c:legend>
      <c:legendPos val="b"/>
      <c:layout>
        <c:manualLayout>
          <c:xMode val="edge"/>
          <c:yMode val="edge"/>
          <c:x val="0.15899384134247749"/>
          <c:y val="0.83747448470336405"/>
          <c:w val="0.68609963705458943"/>
          <c:h val="0.1452933227004355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34</xdr:col>
      <xdr:colOff>315644</xdr:colOff>
      <xdr:row>11</xdr:row>
      <xdr:rowOff>5442</xdr:rowOff>
    </xdr:from>
    <xdr:to>
      <xdr:col>49</xdr:col>
      <xdr:colOff>549088</xdr:colOff>
      <xdr:row>44</xdr:row>
      <xdr:rowOff>0</xdr:rowOff>
    </xdr:to>
    <xdr:graphicFrame macro="">
      <xdr:nvGraphicFramePr>
        <xdr:cNvPr id="3" name="Chart 2">
          <a:extLst>
            <a:ext uri="{FF2B5EF4-FFF2-40B4-BE49-F238E27FC236}">
              <a16:creationId xmlns:a16="http://schemas.microsoft.com/office/drawing/2014/main" id="{0924BB92-4BFD-C312-FF3E-B1C2510719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34</xdr:col>
      <xdr:colOff>313766</xdr:colOff>
      <xdr:row>11</xdr:row>
      <xdr:rowOff>1587</xdr:rowOff>
    </xdr:from>
    <xdr:to>
      <xdr:col>49</xdr:col>
      <xdr:colOff>549090</xdr:colOff>
      <xdr:row>43</xdr:row>
      <xdr:rowOff>5953</xdr:rowOff>
    </xdr:to>
    <xdr:graphicFrame macro="">
      <xdr:nvGraphicFramePr>
        <xdr:cNvPr id="2" name="Chart 1">
          <a:extLst>
            <a:ext uri="{FF2B5EF4-FFF2-40B4-BE49-F238E27FC236}">
              <a16:creationId xmlns:a16="http://schemas.microsoft.com/office/drawing/2014/main" id="{2AEDA1B5-70A2-4780-A535-A45ECBBD53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34</xdr:col>
      <xdr:colOff>313765</xdr:colOff>
      <xdr:row>11</xdr:row>
      <xdr:rowOff>2605</xdr:rowOff>
    </xdr:from>
    <xdr:to>
      <xdr:col>49</xdr:col>
      <xdr:colOff>526676</xdr:colOff>
      <xdr:row>42</xdr:row>
      <xdr:rowOff>1</xdr:rowOff>
    </xdr:to>
    <xdr:graphicFrame macro="">
      <xdr:nvGraphicFramePr>
        <xdr:cNvPr id="2" name="Chart 1">
          <a:extLst>
            <a:ext uri="{FF2B5EF4-FFF2-40B4-BE49-F238E27FC236}">
              <a16:creationId xmlns:a16="http://schemas.microsoft.com/office/drawing/2014/main" id="{16CD5CC8-63A2-4B7B-827A-83E064730A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34</xdr:col>
      <xdr:colOff>333374</xdr:colOff>
      <xdr:row>11</xdr:row>
      <xdr:rowOff>0</xdr:rowOff>
    </xdr:from>
    <xdr:to>
      <xdr:col>49</xdr:col>
      <xdr:colOff>504264</xdr:colOff>
      <xdr:row>39</xdr:row>
      <xdr:rowOff>0</xdr:rowOff>
    </xdr:to>
    <xdr:graphicFrame macro="">
      <xdr:nvGraphicFramePr>
        <xdr:cNvPr id="2" name="Chart 1">
          <a:extLst>
            <a:ext uri="{FF2B5EF4-FFF2-40B4-BE49-F238E27FC236}">
              <a16:creationId xmlns:a16="http://schemas.microsoft.com/office/drawing/2014/main" id="{C4C1F1F9-AB88-4DA8-A235-E17ECC46F1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ZoneTenderSignoffsummarysheet2904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roject%20Delivery/The%20Ribbon/3.%20Commercial/03%20Progress%20Claims/PCCC%20Green%20Sheet%2027%20Oct%2010.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B)%20151217%20Ribbon%20Green%20Sheet%20Rev%2013B%20rev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data1/users$/DOCUME~1/Grocon/LOCALS~1/Temp/GROCON1-0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TRADE%20SUMMARY"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s &amp; Insurances"/>
      <sheetName val="Gen Prelims"/>
      <sheetName val="Temporaries"/>
      <sheetName val="Surveying &amp; Cleaning"/>
      <sheetName val="Cranes"/>
      <sheetName val="Hoists"/>
      <sheetName val="Scaffold"/>
      <sheetName val="Project Data"/>
      <sheetName val="Input Data"/>
      <sheetName val="Provisional Sums"/>
      <sheetName val="Design Fees"/>
      <sheetName val="Clarifications"/>
      <sheetName val="Scope of Prelims"/>
      <sheetName val="Prel R&amp;O"/>
      <sheetName val="Alternatives"/>
      <sheetName val="Prelims Comparo"/>
      <sheetName val="Night Shift"/>
      <sheetName val="Overtime"/>
      <sheetName val="Normal Time"/>
      <sheetName val="Structure Labour"/>
      <sheetName val="Structure Materials"/>
      <sheetName val="Structure Summary"/>
      <sheetName val="Structure Costs"/>
      <sheetName val="Scaffold $"/>
      <sheetName val="Additional Costs"/>
      <sheetName val="Office Setup"/>
    </sheetNames>
    <sheetDataSet>
      <sheetData sheetId="0"/>
      <sheetData sheetId="1"/>
      <sheetData sheetId="2"/>
      <sheetData sheetId="3"/>
      <sheetData sheetId="4"/>
      <sheetData sheetId="5"/>
      <sheetData sheetId="6"/>
      <sheetData sheetId="7"/>
      <sheetData sheetId="8"/>
      <sheetData sheetId="9">
        <row r="42">
          <cell r="B42">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een Sheet"/>
      <sheetName val="Staff &amp; Resourcing SOUTH"/>
      <sheetName val="Preliminaries SOUTH"/>
      <sheetName val="Staff &amp; Resourcing NORTH"/>
      <sheetName val="Preliminaries NORTH"/>
      <sheetName val="Design Consultants"/>
      <sheetName val="Risk Matrix"/>
      <sheetName val="Provisional Sums"/>
      <sheetName val="Acceleration Costs"/>
      <sheetName val="Contribution Fees"/>
      <sheetName val="Design Development"/>
      <sheetName val="Net Trade Summary"/>
      <sheetName val="Groundworks"/>
      <sheetName val="Concrete"/>
      <sheetName val="Formwork"/>
      <sheetName val="Reinforcement"/>
      <sheetName val="Post Tensioning"/>
      <sheetName val="Precast Concrete"/>
      <sheetName val="Tanking"/>
      <sheetName val="Masonry"/>
      <sheetName val="Stonework &amp; Tiling"/>
      <sheetName val="Structural Steel"/>
      <sheetName val="Metalwork"/>
      <sheetName val="Woodwork"/>
      <sheetName val="Glazing"/>
      <sheetName val="Sanitary Hardware"/>
      <sheetName val="Toilet Partitions"/>
      <sheetName val="Roofing and Roof Plumbing"/>
      <sheetName val="Plasterboard"/>
      <sheetName val="Facade"/>
      <sheetName val="Doors"/>
      <sheetName val="Boom Gates"/>
      <sheetName val="Floor Finishes"/>
      <sheetName val="Lockers"/>
      <sheetName val="Painting"/>
      <sheetName val="Special Equipment"/>
      <sheetName val="External Works"/>
      <sheetName val="Roller Shutters"/>
      <sheetName val="Hydraulic "/>
      <sheetName val="Electrical"/>
      <sheetName val="Mechanical"/>
      <sheetName val="Fire"/>
      <sheetName val="Security"/>
      <sheetName val="Lifts"/>
      <sheetName val="BWIC"/>
      <sheetName val="Window Furnishings"/>
      <sheetName val="BMU"/>
      <sheetName val="Roof Safety System"/>
      <sheetName val="Louvres"/>
      <sheetName val="Landscaping"/>
      <sheetName val="Stair Nosing &amp; Tactiles"/>
      <sheetName val="Signage"/>
      <sheetName val="Post Tender REV Drwg"/>
      <sheetName val="42"/>
      <sheetName val="43"/>
      <sheetName val="44"/>
      <sheetName val="Trade Contents Sheet"/>
    </sheetNames>
    <sheetDataSet>
      <sheetData sheetId="0" refreshError="1">
        <row r="4">
          <cell r="N4">
            <v>40513</v>
          </cell>
        </row>
        <row r="5">
          <cell r="N5">
            <v>185.78</v>
          </cell>
        </row>
        <row r="9">
          <cell r="G9">
            <v>154132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 Preliminaries Sheet (2)"/>
      <sheetName val="(RB) Summary (2)"/>
      <sheetName val="(RB) Summary"/>
      <sheetName val="(RB) Staff"/>
      <sheetName val="(RB) Preliminaries Sheet"/>
      <sheetName val="Green Sheet"/>
      <sheetName val="Staff &amp; Resourcing"/>
      <sheetName val="Preliminaries Sheet"/>
      <sheetName val="RLB Adjustment"/>
      <sheetName val="Archive Staff &amp; Res"/>
      <sheetName val="Archive Prelims Sht"/>
      <sheetName val="Labour"/>
      <sheetName val="Staff"/>
      <sheetName val="Prelims Move"/>
    </sheetNames>
    <sheetDataSet>
      <sheetData sheetId="0"/>
      <sheetData sheetId="1"/>
      <sheetData sheetId="2"/>
      <sheetData sheetId="3"/>
      <sheetData sheetId="4"/>
      <sheetData sheetId="5">
        <row r="9">
          <cell r="E9">
            <v>71305</v>
          </cell>
        </row>
        <row r="42">
          <cell r="N42">
            <v>286554381.85908031</v>
          </cell>
        </row>
      </sheetData>
      <sheetData sheetId="6">
        <row r="108">
          <cell r="CB108">
            <v>18659288.126554642</v>
          </cell>
        </row>
      </sheetData>
      <sheetData sheetId="7">
        <row r="4">
          <cell r="E4">
            <v>178</v>
          </cell>
        </row>
        <row r="5">
          <cell r="E5">
            <v>312000000</v>
          </cell>
        </row>
        <row r="6">
          <cell r="E6">
            <v>413000000</v>
          </cell>
        </row>
      </sheetData>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Summary"/>
      <sheetName val="Summary"/>
      <sheetName val="QtyCalc"/>
      <sheetName val="Setup"/>
      <sheetName val="HireRates"/>
      <sheetName val="Sundries"/>
      <sheetName val="Labour"/>
      <sheetName val="HourlyRate"/>
      <sheetName val="Transport"/>
      <sheetName val="Rates"/>
    </sheetNames>
    <sheetDataSet>
      <sheetData sheetId="0"/>
      <sheetData sheetId="1"/>
      <sheetData sheetId="2"/>
      <sheetData sheetId="3">
        <row r="9">
          <cell r="C9">
            <v>1</v>
          </cell>
        </row>
        <row r="10">
          <cell r="C10" t="str">
            <v>S</v>
          </cell>
        </row>
        <row r="12">
          <cell r="C12">
            <v>0.12</v>
          </cell>
        </row>
        <row r="13">
          <cell r="C13">
            <v>3.0000000000000001E-3</v>
          </cell>
        </row>
        <row r="14">
          <cell r="C14" t="str">
            <v>Y</v>
          </cell>
        </row>
        <row r="16">
          <cell r="C16" t="str">
            <v>Y</v>
          </cell>
        </row>
        <row r="17">
          <cell r="C17" t="str">
            <v>Y</v>
          </cell>
        </row>
        <row r="18">
          <cell r="C18" t="str">
            <v>Y</v>
          </cell>
        </row>
        <row r="19">
          <cell r="C19" t="str">
            <v>Y</v>
          </cell>
        </row>
      </sheetData>
      <sheetData sheetId="4">
        <row r="6">
          <cell r="C6">
            <v>0.6</v>
          </cell>
        </row>
        <row r="7">
          <cell r="C7">
            <v>0.6</v>
          </cell>
        </row>
        <row r="10">
          <cell r="C10">
            <v>1.1000000000000001</v>
          </cell>
        </row>
        <row r="11">
          <cell r="C11">
            <v>1.1000000000000001</v>
          </cell>
        </row>
        <row r="12">
          <cell r="C12">
            <v>1.0669999999999999</v>
          </cell>
        </row>
        <row r="13">
          <cell r="C13">
            <v>3.0249999999999999</v>
          </cell>
        </row>
        <row r="14">
          <cell r="C14">
            <v>2.0790000000000002</v>
          </cell>
        </row>
        <row r="16">
          <cell r="C16">
            <v>1.65</v>
          </cell>
        </row>
        <row r="17">
          <cell r="C17">
            <v>2.9370000000000003</v>
          </cell>
        </row>
        <row r="18">
          <cell r="C18">
            <v>36.299999999999997</v>
          </cell>
        </row>
        <row r="19">
          <cell r="C19">
            <v>22</v>
          </cell>
        </row>
        <row r="20">
          <cell r="C20">
            <v>23.1</v>
          </cell>
        </row>
        <row r="21">
          <cell r="C21">
            <v>13.2</v>
          </cell>
        </row>
        <row r="22">
          <cell r="C22">
            <v>16.5</v>
          </cell>
        </row>
        <row r="23">
          <cell r="C23">
            <v>0.59400000000000008</v>
          </cell>
        </row>
        <row r="24">
          <cell r="C24">
            <v>0.33</v>
          </cell>
        </row>
        <row r="25">
          <cell r="C25">
            <v>1.76</v>
          </cell>
        </row>
        <row r="26">
          <cell r="C26">
            <v>0.36300000000000004</v>
          </cell>
        </row>
        <row r="27">
          <cell r="C27">
            <v>27.5</v>
          </cell>
        </row>
      </sheetData>
      <sheetData sheetId="5">
        <row r="6">
          <cell r="C6">
            <v>24</v>
          </cell>
        </row>
        <row r="7">
          <cell r="C7">
            <v>85</v>
          </cell>
        </row>
        <row r="8">
          <cell r="C8">
            <v>60</v>
          </cell>
        </row>
        <row r="9">
          <cell r="C9">
            <v>120</v>
          </cell>
        </row>
        <row r="10">
          <cell r="C10">
            <v>2.5</v>
          </cell>
        </row>
        <row r="11">
          <cell r="C11">
            <v>3</v>
          </cell>
        </row>
        <row r="14">
          <cell r="C14">
            <v>24</v>
          </cell>
        </row>
        <row r="18">
          <cell r="C18">
            <v>70</v>
          </cell>
        </row>
        <row r="19">
          <cell r="C19">
            <v>50</v>
          </cell>
        </row>
      </sheetData>
      <sheetData sheetId="6">
        <row r="2">
          <cell r="D2">
            <v>65</v>
          </cell>
        </row>
        <row r="7">
          <cell r="D7">
            <v>0.25</v>
          </cell>
        </row>
        <row r="17">
          <cell r="I17">
            <v>13</v>
          </cell>
        </row>
        <row r="18">
          <cell r="L18">
            <v>0</v>
          </cell>
          <cell r="M18">
            <v>13</v>
          </cell>
        </row>
        <row r="19">
          <cell r="L19">
            <v>6</v>
          </cell>
          <cell r="M19">
            <v>13</v>
          </cell>
        </row>
        <row r="20">
          <cell r="L20">
            <v>15</v>
          </cell>
          <cell r="M20">
            <v>17.333333333333336</v>
          </cell>
        </row>
        <row r="21">
          <cell r="L21">
            <v>26</v>
          </cell>
          <cell r="M21">
            <v>17.333333333333336</v>
          </cell>
        </row>
        <row r="22">
          <cell r="L22">
            <v>0</v>
          </cell>
          <cell r="M22">
            <v>13</v>
          </cell>
        </row>
        <row r="23">
          <cell r="L23">
            <v>6</v>
          </cell>
          <cell r="M23">
            <v>13</v>
          </cell>
        </row>
        <row r="24">
          <cell r="L24">
            <v>15</v>
          </cell>
          <cell r="M24">
            <v>15.166666666666666</v>
          </cell>
        </row>
        <row r="25">
          <cell r="L25">
            <v>26</v>
          </cell>
          <cell r="M25">
            <v>15.166666666666666</v>
          </cell>
        </row>
        <row r="26">
          <cell r="L26">
            <v>0</v>
          </cell>
          <cell r="M26">
            <v>13</v>
          </cell>
        </row>
        <row r="27">
          <cell r="L27">
            <v>7</v>
          </cell>
          <cell r="M27">
            <v>13</v>
          </cell>
        </row>
        <row r="28">
          <cell r="L28">
            <v>10</v>
          </cell>
          <cell r="M28">
            <v>19.25925925925926</v>
          </cell>
        </row>
        <row r="29">
          <cell r="L29">
            <v>13</v>
          </cell>
          <cell r="M29">
            <v>24.074074074074076</v>
          </cell>
        </row>
        <row r="30">
          <cell r="L30">
            <v>19</v>
          </cell>
          <cell r="M30">
            <v>30.588235294117645</v>
          </cell>
        </row>
        <row r="31">
          <cell r="L31">
            <v>24</v>
          </cell>
          <cell r="M31">
            <v>52</v>
          </cell>
        </row>
        <row r="32">
          <cell r="L32">
            <v>29</v>
          </cell>
          <cell r="M32">
            <v>57.777777777777771</v>
          </cell>
        </row>
        <row r="33">
          <cell r="L33">
            <v>36</v>
          </cell>
          <cell r="M33">
            <v>86.666666666666657</v>
          </cell>
        </row>
        <row r="34">
          <cell r="L34">
            <v>0</v>
          </cell>
          <cell r="M34">
            <v>13</v>
          </cell>
        </row>
        <row r="35">
          <cell r="L35">
            <v>7</v>
          </cell>
          <cell r="M35">
            <v>13</v>
          </cell>
        </row>
        <row r="36">
          <cell r="L36">
            <v>10</v>
          </cell>
          <cell r="M36">
            <v>16.851851851851851</v>
          </cell>
        </row>
        <row r="37">
          <cell r="L37">
            <v>13</v>
          </cell>
          <cell r="M37">
            <v>25.490196078431374</v>
          </cell>
        </row>
        <row r="38">
          <cell r="L38">
            <v>19</v>
          </cell>
          <cell r="M38">
            <v>37.916666666666664</v>
          </cell>
        </row>
        <row r="39">
          <cell r="L39">
            <v>24</v>
          </cell>
          <cell r="M39">
            <v>52</v>
          </cell>
        </row>
        <row r="40">
          <cell r="L40">
            <v>29</v>
          </cell>
          <cell r="M40">
            <v>57.777777777777771</v>
          </cell>
        </row>
        <row r="41">
          <cell r="L41">
            <v>36</v>
          </cell>
          <cell r="M41">
            <v>80</v>
          </cell>
        </row>
        <row r="42">
          <cell r="I42">
            <v>216.66666666666669</v>
          </cell>
        </row>
        <row r="43">
          <cell r="I43">
            <v>108.33333333333334</v>
          </cell>
        </row>
        <row r="44">
          <cell r="I44">
            <v>100</v>
          </cell>
        </row>
        <row r="45">
          <cell r="I45">
            <v>108.33333333333334</v>
          </cell>
        </row>
        <row r="46">
          <cell r="I46">
            <v>100</v>
          </cell>
        </row>
        <row r="47">
          <cell r="I47">
            <v>433.33333333333337</v>
          </cell>
        </row>
        <row r="48">
          <cell r="I48">
            <v>400</v>
          </cell>
        </row>
        <row r="49">
          <cell r="I49">
            <v>19.25925925925926</v>
          </cell>
        </row>
        <row r="52">
          <cell r="I52">
            <v>8.9142857142857146</v>
          </cell>
        </row>
        <row r="53">
          <cell r="I53">
            <v>6.6382978723404253</v>
          </cell>
        </row>
        <row r="54">
          <cell r="I54">
            <v>10</v>
          </cell>
        </row>
        <row r="55">
          <cell r="I55">
            <v>13</v>
          </cell>
        </row>
        <row r="56">
          <cell r="I56">
            <v>15.294117647058822</v>
          </cell>
        </row>
        <row r="57">
          <cell r="I57">
            <v>5.6727272727272728</v>
          </cell>
        </row>
        <row r="58">
          <cell r="I58">
            <v>7.0909090909090908</v>
          </cell>
        </row>
        <row r="59">
          <cell r="I59">
            <v>11.555555555555555</v>
          </cell>
        </row>
        <row r="60">
          <cell r="I60">
            <v>10</v>
          </cell>
        </row>
        <row r="61">
          <cell r="I61">
            <v>6</v>
          </cell>
        </row>
        <row r="62">
          <cell r="I62">
            <v>5.5319148936170208</v>
          </cell>
        </row>
        <row r="63">
          <cell r="I63">
            <v>3.0588235294117645</v>
          </cell>
        </row>
        <row r="64">
          <cell r="I64">
            <v>6.5</v>
          </cell>
        </row>
        <row r="65">
          <cell r="I65">
            <v>216.66666666666669</v>
          </cell>
        </row>
        <row r="68">
          <cell r="I68">
            <v>10</v>
          </cell>
        </row>
        <row r="70">
          <cell r="I70">
            <v>108.33333333333334</v>
          </cell>
        </row>
        <row r="71">
          <cell r="I71">
            <v>173.33333333333331</v>
          </cell>
        </row>
        <row r="72">
          <cell r="I72">
            <v>5.7777777777777777</v>
          </cell>
        </row>
        <row r="73">
          <cell r="I73">
            <v>13</v>
          </cell>
        </row>
        <row r="74">
          <cell r="I74">
            <v>104</v>
          </cell>
        </row>
        <row r="75">
          <cell r="L75">
            <v>0</v>
          </cell>
          <cell r="M75">
            <v>0</v>
          </cell>
        </row>
        <row r="76">
          <cell r="L76">
            <v>20</v>
          </cell>
          <cell r="M76">
            <v>0</v>
          </cell>
        </row>
        <row r="77">
          <cell r="L77">
            <v>30</v>
          </cell>
          <cell r="M77">
            <v>0.05</v>
          </cell>
        </row>
        <row r="78">
          <cell r="L78">
            <v>40</v>
          </cell>
          <cell r="M78">
            <v>0.1</v>
          </cell>
        </row>
        <row r="79">
          <cell r="L79">
            <v>50</v>
          </cell>
          <cell r="M79">
            <v>0.15</v>
          </cell>
        </row>
      </sheetData>
      <sheetData sheetId="7"/>
      <sheetData sheetId="8">
        <row r="6">
          <cell r="C6">
            <v>8</v>
          </cell>
        </row>
        <row r="7">
          <cell r="C7">
            <v>80</v>
          </cell>
        </row>
        <row r="8">
          <cell r="C8">
            <v>4</v>
          </cell>
        </row>
        <row r="9">
          <cell r="C9">
            <v>200</v>
          </cell>
        </row>
        <row r="10">
          <cell r="C10">
            <v>900</v>
          </cell>
        </row>
        <row r="11">
          <cell r="C11">
            <v>12</v>
          </cell>
        </row>
        <row r="12">
          <cell r="C12">
            <v>17</v>
          </cell>
        </row>
        <row r="13">
          <cell r="C13">
            <v>48</v>
          </cell>
        </row>
      </sheetData>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DE SUMMARY"/>
      <sheetName val="1997-1999"/>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1C7F9-21FA-4558-9896-0A4E5FB3CC6A}">
  <sheetPr>
    <pageSetUpPr fitToPage="1"/>
  </sheetPr>
  <dimension ref="B2:U37"/>
  <sheetViews>
    <sheetView topLeftCell="A8" zoomScale="70" zoomScaleNormal="70" workbookViewId="0">
      <selection activeCell="Z11" sqref="Z11"/>
    </sheetView>
  </sheetViews>
  <sheetFormatPr baseColWidth="10" defaultColWidth="8.83203125" defaultRowHeight="15" x14ac:dyDescent="0.2"/>
  <cols>
    <col min="1" max="1" width="2.83203125" customWidth="1"/>
    <col min="4" max="4" width="35" customWidth="1"/>
    <col min="6" max="6" width="19.5" customWidth="1"/>
    <col min="8" max="8" width="17.5" customWidth="1"/>
    <col min="10" max="10" width="15.5" customWidth="1"/>
    <col min="12" max="12" width="17.1640625" customWidth="1"/>
    <col min="14" max="14" width="13.5" customWidth="1"/>
    <col min="16" max="16" width="18" customWidth="1"/>
    <col min="18" max="18" width="14.83203125" customWidth="1"/>
    <col min="20" max="20" width="16" customWidth="1"/>
  </cols>
  <sheetData>
    <row r="2" spans="2:21" ht="19" x14ac:dyDescent="0.25">
      <c r="B2" s="206" t="s">
        <v>73</v>
      </c>
      <c r="C2" s="207"/>
      <c r="D2" s="207"/>
      <c r="E2" s="207"/>
      <c r="F2" s="207"/>
      <c r="G2" s="207"/>
      <c r="H2" s="207"/>
      <c r="I2" s="207"/>
      <c r="J2" s="207"/>
      <c r="K2" s="207"/>
      <c r="L2" s="207"/>
      <c r="M2" s="207"/>
      <c r="N2" s="207"/>
      <c r="O2" s="207"/>
      <c r="P2" s="207"/>
      <c r="Q2" s="207"/>
      <c r="R2" s="207"/>
      <c r="S2" s="207"/>
      <c r="T2" s="207"/>
      <c r="U2" s="208"/>
    </row>
    <row r="3" spans="2:21" ht="20" thickBot="1" x14ac:dyDescent="0.3">
      <c r="B3" s="209" t="s">
        <v>62</v>
      </c>
      <c r="C3" s="210"/>
      <c r="D3" s="210"/>
      <c r="E3" s="210"/>
      <c r="F3" s="210"/>
      <c r="G3" s="210"/>
      <c r="H3" s="210"/>
      <c r="I3" s="210"/>
      <c r="J3" s="210"/>
      <c r="K3" s="210"/>
      <c r="L3" s="210"/>
      <c r="M3" s="210"/>
      <c r="N3" s="210"/>
      <c r="O3" s="210"/>
      <c r="P3" s="210"/>
      <c r="Q3" s="210"/>
      <c r="R3" s="210"/>
      <c r="S3" s="210"/>
      <c r="T3" s="210"/>
      <c r="U3" s="211"/>
    </row>
    <row r="4" spans="2:21" ht="19" x14ac:dyDescent="0.25">
      <c r="B4" s="212"/>
      <c r="C4" s="213"/>
      <c r="D4" s="213"/>
      <c r="E4" s="246" t="s">
        <v>75</v>
      </c>
      <c r="F4" s="222"/>
      <c r="G4" s="222"/>
      <c r="H4" s="223"/>
      <c r="I4" s="221" t="s">
        <v>76</v>
      </c>
      <c r="J4" s="222"/>
      <c r="K4" s="222"/>
      <c r="L4" s="267"/>
      <c r="M4" s="246" t="s">
        <v>77</v>
      </c>
      <c r="N4" s="222"/>
      <c r="O4" s="222"/>
      <c r="P4" s="223"/>
      <c r="Q4" s="221" t="s">
        <v>78</v>
      </c>
      <c r="R4" s="222"/>
      <c r="S4" s="222"/>
      <c r="T4" s="223"/>
      <c r="U4" s="211"/>
    </row>
    <row r="5" spans="2:21" ht="20" thickBot="1" x14ac:dyDescent="0.3">
      <c r="B5" s="212"/>
      <c r="C5" s="213"/>
      <c r="D5" s="213"/>
      <c r="E5" s="224" t="s">
        <v>40</v>
      </c>
      <c r="F5" s="225"/>
      <c r="G5" s="225" t="s">
        <v>63</v>
      </c>
      <c r="H5" s="226"/>
      <c r="I5" s="224" t="s">
        <v>40</v>
      </c>
      <c r="J5" s="225"/>
      <c r="K5" s="225" t="s">
        <v>63</v>
      </c>
      <c r="L5" s="226"/>
      <c r="M5" s="224" t="s">
        <v>40</v>
      </c>
      <c r="N5" s="225"/>
      <c r="O5" s="225" t="s">
        <v>63</v>
      </c>
      <c r="P5" s="226"/>
      <c r="Q5" s="224" t="s">
        <v>40</v>
      </c>
      <c r="R5" s="225"/>
      <c r="S5" s="225" t="s">
        <v>63</v>
      </c>
      <c r="T5" s="226"/>
      <c r="U5" s="211"/>
    </row>
    <row r="6" spans="2:21" ht="19" x14ac:dyDescent="0.25">
      <c r="B6" s="275" t="s">
        <v>65</v>
      </c>
      <c r="C6" s="275"/>
      <c r="D6" s="276"/>
      <c r="E6" s="247">
        <f>'Very Large Project'!E105</f>
        <v>439169.06512702076</v>
      </c>
      <c r="F6" s="228"/>
      <c r="G6" s="228">
        <f>'Very Large Project'!F105</f>
        <v>2132768.0895071761</v>
      </c>
      <c r="H6" s="229"/>
      <c r="I6" s="227">
        <f>'Large Project'!E102</f>
        <v>381847.23404816887</v>
      </c>
      <c r="J6" s="228"/>
      <c r="K6" s="228">
        <f>'Large Project'!F102</f>
        <v>1438748.1901993155</v>
      </c>
      <c r="L6" s="268"/>
      <c r="M6" s="247">
        <f>'Medium Project'!E99</f>
        <v>299059.6062025734</v>
      </c>
      <c r="N6" s="228"/>
      <c r="O6" s="228">
        <f>'Medium Project'!F99</f>
        <v>979933.47989013547</v>
      </c>
      <c r="P6" s="229"/>
      <c r="Q6" s="227">
        <f>'Small Project'!E93</f>
        <v>182579.04082151107</v>
      </c>
      <c r="R6" s="228"/>
      <c r="S6" s="228">
        <f>'Small Project'!F93</f>
        <v>579937.96686402999</v>
      </c>
      <c r="T6" s="229"/>
      <c r="U6" s="211"/>
    </row>
    <row r="7" spans="2:21" ht="19" x14ac:dyDescent="0.25">
      <c r="B7" s="279" t="s">
        <v>64</v>
      </c>
      <c r="C7" s="279"/>
      <c r="D7" s="280"/>
      <c r="E7" s="241">
        <f>'Very Large Project'!E106</f>
        <v>48000</v>
      </c>
      <c r="F7" s="231"/>
      <c r="G7" s="231">
        <f>'Very Large Project'!F106</f>
        <v>0</v>
      </c>
      <c r="H7" s="232"/>
      <c r="I7" s="230">
        <f>'Large Project'!E103</f>
        <v>24000</v>
      </c>
      <c r="J7" s="231"/>
      <c r="K7" s="231">
        <f>'Large Project'!F103</f>
        <v>0</v>
      </c>
      <c r="L7" s="270"/>
      <c r="M7" s="241">
        <f>'Medium Project'!E100</f>
        <v>14400</v>
      </c>
      <c r="N7" s="231"/>
      <c r="O7" s="231">
        <f>'Medium Project'!F100</f>
        <v>0</v>
      </c>
      <c r="P7" s="232"/>
      <c r="Q7" s="230">
        <f>'Small Project'!E94</f>
        <v>7200</v>
      </c>
      <c r="R7" s="231"/>
      <c r="S7" s="231">
        <f>'Small Project'!F94</f>
        <v>0</v>
      </c>
      <c r="T7" s="232"/>
      <c r="U7" s="211"/>
    </row>
    <row r="8" spans="2:21" ht="19" x14ac:dyDescent="0.25">
      <c r="B8" s="281" t="s">
        <v>71</v>
      </c>
      <c r="C8" s="281"/>
      <c r="D8" s="282"/>
      <c r="E8" s="253">
        <f>'Very Large Project'!E107</f>
        <v>487169.06512702076</v>
      </c>
      <c r="F8" s="234"/>
      <c r="G8" s="234">
        <f>'Very Large Project'!F107</f>
        <v>2132768.0895071761</v>
      </c>
      <c r="H8" s="235"/>
      <c r="I8" s="233">
        <f>'Large Project'!E104</f>
        <v>405847.23404816887</v>
      </c>
      <c r="J8" s="234"/>
      <c r="K8" s="234">
        <f>'Large Project'!F104</f>
        <v>1438748.1901993155</v>
      </c>
      <c r="L8" s="271"/>
      <c r="M8" s="253">
        <f>'Medium Project'!E101</f>
        <v>313459.6062025734</v>
      </c>
      <c r="N8" s="234"/>
      <c r="O8" s="234">
        <f>'Medium Project'!F101</f>
        <v>979933.47989013547</v>
      </c>
      <c r="P8" s="235"/>
      <c r="Q8" s="233">
        <f>'Small Project'!E95</f>
        <v>189779.04082151107</v>
      </c>
      <c r="R8" s="234"/>
      <c r="S8" s="234">
        <f>'Small Project'!F95</f>
        <v>579937.96686402999</v>
      </c>
      <c r="T8" s="235"/>
      <c r="U8" s="211"/>
    </row>
    <row r="9" spans="2:21" ht="19" x14ac:dyDescent="0.25">
      <c r="B9" s="283" t="s">
        <v>66</v>
      </c>
      <c r="C9" s="283"/>
      <c r="D9" s="284"/>
      <c r="E9" s="254">
        <f>'Very Large Project'!E108</f>
        <v>974.33813025404152</v>
      </c>
      <c r="F9" s="237"/>
      <c r="G9" s="237">
        <f>'Very Large Project'!F108</f>
        <v>4265.5361790143525</v>
      </c>
      <c r="H9" s="238"/>
      <c r="I9" s="236">
        <f>'Large Project'!E105</f>
        <v>1623.3889361926756</v>
      </c>
      <c r="J9" s="237"/>
      <c r="K9" s="237">
        <f>'Large Project'!F105</f>
        <v>5754.9927607972622</v>
      </c>
      <c r="L9" s="272"/>
      <c r="M9" s="254">
        <f>'Medium Project'!E102</f>
        <v>2089.7307080171558</v>
      </c>
      <c r="N9" s="237"/>
      <c r="O9" s="237">
        <f>'Medium Project'!F102</f>
        <v>6532.8898659342367</v>
      </c>
      <c r="P9" s="238"/>
      <c r="Q9" s="236">
        <f>'Small Project'!E96</f>
        <v>2530.3872109534809</v>
      </c>
      <c r="R9" s="237"/>
      <c r="S9" s="237">
        <f>'Small Project'!F96</f>
        <v>7732.5062248537333</v>
      </c>
      <c r="T9" s="238"/>
      <c r="U9" s="211"/>
    </row>
    <row r="10" spans="2:21" ht="20" thickBot="1" x14ac:dyDescent="0.3">
      <c r="B10" s="261" t="s">
        <v>72</v>
      </c>
      <c r="C10" s="261"/>
      <c r="D10" s="262"/>
      <c r="E10" s="285">
        <f>'Very Large Project'!E109</f>
        <v>-1645599.0243801554</v>
      </c>
      <c r="F10" s="240"/>
      <c r="G10" s="240">
        <f>'Very Large Project'!F109</f>
        <v>0</v>
      </c>
      <c r="H10" s="242"/>
      <c r="I10" s="239">
        <f>'Large Project'!E106</f>
        <v>-1032900.9561511467</v>
      </c>
      <c r="J10" s="240"/>
      <c r="K10" s="240">
        <f>'Large Project'!F106</f>
        <v>0</v>
      </c>
      <c r="L10" s="269"/>
      <c r="M10" s="255">
        <f>'Medium Project'!E103</f>
        <v>-666473.87368756207</v>
      </c>
      <c r="N10" s="256"/>
      <c r="O10" s="240">
        <f>'Medium Project'!F103</f>
        <v>0</v>
      </c>
      <c r="P10" s="242"/>
      <c r="Q10" s="239">
        <f>'Small Project'!E97</f>
        <v>-390158.92604251893</v>
      </c>
      <c r="R10" s="240"/>
      <c r="S10" s="240">
        <f>'Small Project'!F97</f>
        <v>0</v>
      </c>
      <c r="T10" s="242"/>
      <c r="U10" s="211"/>
    </row>
    <row r="11" spans="2:21" ht="20" thickBot="1" x14ac:dyDescent="0.3">
      <c r="B11" s="263" t="s">
        <v>74</v>
      </c>
      <c r="C11" s="263"/>
      <c r="D11" s="264"/>
      <c r="E11" s="257">
        <f>'Very Large Project'!E110</f>
        <v>3291.1980487603109</v>
      </c>
      <c r="F11" s="249"/>
      <c r="G11" s="249">
        <f>'Very Large Project'!F110</f>
        <v>0</v>
      </c>
      <c r="H11" s="250"/>
      <c r="I11" s="248">
        <f>'Large Project'!E107</f>
        <v>4131.6038246045864</v>
      </c>
      <c r="J11" s="249"/>
      <c r="K11" s="249">
        <f>'Large Project'!F107</f>
        <v>0</v>
      </c>
      <c r="L11" s="259"/>
      <c r="M11" s="257">
        <f>'Medium Project'!E104</f>
        <v>4443.1591579170808</v>
      </c>
      <c r="N11" s="249"/>
      <c r="O11" s="249">
        <f>'Medium Project'!F104</f>
        <v>0</v>
      </c>
      <c r="P11" s="250"/>
      <c r="Q11" s="248">
        <f>'Small Project'!E98</f>
        <v>5202.119013900252</v>
      </c>
      <c r="R11" s="249"/>
      <c r="S11" s="249">
        <f>'Small Project'!F98</f>
        <v>0</v>
      </c>
      <c r="T11" s="250"/>
      <c r="U11" s="211"/>
    </row>
    <row r="12" spans="2:21" ht="19" x14ac:dyDescent="0.25">
      <c r="B12" s="265" t="s">
        <v>85</v>
      </c>
      <c r="C12" s="265"/>
      <c r="D12" s="266"/>
      <c r="E12" s="258">
        <f>'Very Large Project'!E111</f>
        <v>4.8716906512702073E-2</v>
      </c>
      <c r="F12" s="244"/>
      <c r="G12" s="244">
        <f>'Very Large Project'!F111</f>
        <v>0.2132768089507176</v>
      </c>
      <c r="H12" s="245"/>
      <c r="I12" s="243">
        <f>'Large Project'!E108</f>
        <v>8.1169446809633769E-2</v>
      </c>
      <c r="J12" s="244"/>
      <c r="K12" s="244">
        <f>'Large Project'!F108</f>
        <v>0.28774963803986309</v>
      </c>
      <c r="L12" s="260"/>
      <c r="M12" s="258">
        <f>'Medium Project'!E105</f>
        <v>0.1044865354008578</v>
      </c>
      <c r="N12" s="244"/>
      <c r="O12" s="244">
        <f>'Medium Project'!F105</f>
        <v>0.3266444932967118</v>
      </c>
      <c r="P12" s="245"/>
      <c r="Q12" s="243">
        <f>'Small Project'!E99</f>
        <v>0.12651936054767404</v>
      </c>
      <c r="R12" s="244"/>
      <c r="S12" s="244">
        <f>'Small Project'!F99</f>
        <v>0.38662531124268668</v>
      </c>
      <c r="T12" s="245"/>
      <c r="U12" s="211"/>
    </row>
    <row r="13" spans="2:21" ht="20" thickBot="1" x14ac:dyDescent="0.3">
      <c r="B13" s="261" t="s">
        <v>86</v>
      </c>
      <c r="C13" s="261"/>
      <c r="D13" s="262"/>
      <c r="E13" s="252">
        <f>'Very Large Project'!E112</f>
        <v>1.9486762605080831E-3</v>
      </c>
      <c r="F13" s="219"/>
      <c r="G13" s="219">
        <f>'Very Large Project'!F112</f>
        <v>8.5310723580287046E-3</v>
      </c>
      <c r="H13" s="220"/>
      <c r="I13" s="218">
        <f>'Large Project'!E109</f>
        <v>3.2467778723853512E-3</v>
      </c>
      <c r="J13" s="219"/>
      <c r="K13" s="219">
        <f>'Large Project'!F109</f>
        <v>1.1509985521594525E-2</v>
      </c>
      <c r="L13" s="251"/>
      <c r="M13" s="252">
        <f>'Medium Project'!E106</f>
        <v>4.1794614160343118E-3</v>
      </c>
      <c r="N13" s="219"/>
      <c r="O13" s="219">
        <f>'Medium Project'!F106</f>
        <v>1.3065779731868473E-2</v>
      </c>
      <c r="P13" s="220"/>
      <c r="Q13" s="218">
        <f>'Small Project'!E100</f>
        <v>5.0607744219069621E-3</v>
      </c>
      <c r="R13" s="219"/>
      <c r="S13" s="219">
        <f>'Small Project'!F100</f>
        <v>1.5465012449707466E-2</v>
      </c>
      <c r="T13" s="220"/>
      <c r="U13" s="211"/>
    </row>
    <row r="14" spans="2:21" ht="19" x14ac:dyDescent="0.25">
      <c r="B14" s="214"/>
      <c r="C14" s="210"/>
      <c r="D14" s="210"/>
      <c r="E14" s="210"/>
      <c r="F14" s="210"/>
      <c r="G14" s="210"/>
      <c r="H14" s="210"/>
      <c r="I14" s="210"/>
      <c r="J14" s="210"/>
      <c r="K14" s="210"/>
      <c r="L14" s="210"/>
      <c r="M14" s="210"/>
      <c r="N14" s="210"/>
      <c r="O14" s="210"/>
      <c r="P14" s="210"/>
      <c r="Q14" s="210"/>
      <c r="R14" s="210"/>
      <c r="S14" s="210"/>
      <c r="T14" s="210"/>
      <c r="U14" s="211"/>
    </row>
    <row r="15" spans="2:21" ht="15" customHeight="1" x14ac:dyDescent="0.25">
      <c r="B15" s="277" t="s">
        <v>90</v>
      </c>
      <c r="C15" s="278"/>
      <c r="D15" s="278"/>
      <c r="E15" s="278"/>
      <c r="F15" s="278"/>
      <c r="G15" s="278"/>
      <c r="H15" s="278"/>
      <c r="I15" s="278"/>
      <c r="J15" s="278"/>
      <c r="K15" s="278"/>
      <c r="L15" s="278"/>
      <c r="M15" s="278"/>
      <c r="N15" s="278"/>
      <c r="O15" s="278"/>
      <c r="P15" s="278"/>
      <c r="Q15" s="278"/>
      <c r="R15" s="278"/>
      <c r="S15" s="278"/>
      <c r="T15" s="278"/>
      <c r="U15" s="211"/>
    </row>
    <row r="16" spans="2:21" ht="19" x14ac:dyDescent="0.25">
      <c r="B16" s="277"/>
      <c r="C16" s="278"/>
      <c r="D16" s="278"/>
      <c r="E16" s="278"/>
      <c r="F16" s="278"/>
      <c r="G16" s="278"/>
      <c r="H16" s="278"/>
      <c r="I16" s="278"/>
      <c r="J16" s="278"/>
      <c r="K16" s="278"/>
      <c r="L16" s="278"/>
      <c r="M16" s="278"/>
      <c r="N16" s="278"/>
      <c r="O16" s="278"/>
      <c r="P16" s="278"/>
      <c r="Q16" s="278"/>
      <c r="R16" s="278"/>
      <c r="S16" s="278"/>
      <c r="T16" s="278"/>
      <c r="U16" s="211"/>
    </row>
    <row r="17" spans="2:21" ht="19" x14ac:dyDescent="0.25">
      <c r="B17" s="277"/>
      <c r="C17" s="278"/>
      <c r="D17" s="278"/>
      <c r="E17" s="278"/>
      <c r="F17" s="278"/>
      <c r="G17" s="278"/>
      <c r="H17" s="278"/>
      <c r="I17" s="278"/>
      <c r="J17" s="278"/>
      <c r="K17" s="278"/>
      <c r="L17" s="278"/>
      <c r="M17" s="278"/>
      <c r="N17" s="278"/>
      <c r="O17" s="278"/>
      <c r="P17" s="278"/>
      <c r="Q17" s="278"/>
      <c r="R17" s="278"/>
      <c r="S17" s="278"/>
      <c r="T17" s="278"/>
      <c r="U17" s="211"/>
    </row>
    <row r="18" spans="2:21" ht="44.25" customHeight="1" x14ac:dyDescent="0.25">
      <c r="B18" s="277"/>
      <c r="C18" s="278"/>
      <c r="D18" s="278"/>
      <c r="E18" s="278"/>
      <c r="F18" s="278"/>
      <c r="G18" s="278"/>
      <c r="H18" s="278"/>
      <c r="I18" s="278"/>
      <c r="J18" s="278"/>
      <c r="K18" s="278"/>
      <c r="L18" s="278"/>
      <c r="M18" s="278"/>
      <c r="N18" s="278"/>
      <c r="O18" s="278"/>
      <c r="P18" s="278"/>
      <c r="Q18" s="278"/>
      <c r="R18" s="278"/>
      <c r="S18" s="278"/>
      <c r="T18" s="278"/>
      <c r="U18" s="211"/>
    </row>
    <row r="19" spans="2:21" ht="19" x14ac:dyDescent="0.25">
      <c r="B19" s="214"/>
      <c r="C19" s="210"/>
      <c r="D19" s="210"/>
      <c r="E19" s="210"/>
      <c r="F19" s="210"/>
      <c r="G19" s="210"/>
      <c r="H19" s="210"/>
      <c r="I19" s="210"/>
      <c r="J19" s="210"/>
      <c r="K19" s="210"/>
      <c r="L19" s="210"/>
      <c r="M19" s="210"/>
      <c r="N19" s="210"/>
      <c r="O19" s="210"/>
      <c r="P19" s="210"/>
      <c r="Q19" s="210"/>
      <c r="R19" s="210"/>
      <c r="S19" s="210"/>
      <c r="T19" s="210"/>
      <c r="U19" s="211"/>
    </row>
    <row r="20" spans="2:21" ht="19" x14ac:dyDescent="0.25">
      <c r="B20" s="214"/>
      <c r="C20" s="217">
        <v>1</v>
      </c>
      <c r="D20" s="217" t="s">
        <v>91</v>
      </c>
      <c r="E20" s="217"/>
      <c r="F20" s="217"/>
      <c r="G20" s="217"/>
      <c r="H20" s="217"/>
      <c r="I20" s="217"/>
      <c r="J20" s="217"/>
      <c r="K20" s="217"/>
      <c r="M20" s="210"/>
      <c r="N20" s="210"/>
      <c r="O20" s="210"/>
      <c r="P20" s="210"/>
      <c r="Q20" s="210"/>
      <c r="R20" s="210"/>
      <c r="S20" s="210"/>
      <c r="T20" s="210"/>
      <c r="U20" s="211"/>
    </row>
    <row r="21" spans="2:21" ht="19" x14ac:dyDescent="0.25">
      <c r="B21" s="214"/>
      <c r="C21" s="217">
        <v>2</v>
      </c>
      <c r="D21" s="217" t="s">
        <v>92</v>
      </c>
      <c r="E21" s="217"/>
      <c r="F21" s="217"/>
      <c r="G21" s="217"/>
      <c r="H21" s="217"/>
      <c r="I21" s="217"/>
      <c r="J21" s="217"/>
      <c r="K21" s="217"/>
      <c r="L21" s="210"/>
      <c r="M21" s="210"/>
      <c r="N21" s="210"/>
      <c r="O21" s="210"/>
      <c r="P21" s="210"/>
      <c r="Q21" s="210"/>
      <c r="R21" s="210"/>
      <c r="S21" s="210"/>
      <c r="T21" s="210"/>
      <c r="U21" s="211"/>
    </row>
    <row r="22" spans="2:21" ht="19" x14ac:dyDescent="0.25">
      <c r="B22" s="214"/>
      <c r="C22" s="217">
        <v>3</v>
      </c>
      <c r="D22" s="217" t="s">
        <v>93</v>
      </c>
      <c r="E22" s="217"/>
      <c r="F22" s="217"/>
      <c r="G22" s="217"/>
      <c r="H22" s="217"/>
      <c r="I22" s="217"/>
      <c r="J22" s="217"/>
      <c r="K22" s="217"/>
      <c r="L22" s="210"/>
      <c r="M22" s="210"/>
      <c r="N22" s="210"/>
      <c r="O22" s="210"/>
      <c r="P22" s="210"/>
      <c r="Q22" s="210"/>
      <c r="R22" s="210"/>
      <c r="S22" s="210"/>
      <c r="T22" s="210"/>
      <c r="U22" s="211"/>
    </row>
    <row r="23" spans="2:21" ht="19" x14ac:dyDescent="0.25">
      <c r="B23" s="214"/>
      <c r="C23" s="217">
        <v>4</v>
      </c>
      <c r="D23" s="217" t="s">
        <v>94</v>
      </c>
      <c r="E23" s="217"/>
      <c r="F23" s="217"/>
      <c r="G23" s="217"/>
      <c r="H23" s="217"/>
      <c r="I23" s="217"/>
      <c r="J23" s="217"/>
      <c r="K23" s="217"/>
      <c r="L23" s="210"/>
      <c r="M23" s="210"/>
      <c r="N23" s="210"/>
      <c r="O23" s="210"/>
      <c r="P23" s="210"/>
      <c r="Q23" s="210"/>
      <c r="R23" s="210"/>
      <c r="S23" s="210"/>
      <c r="T23" s="210"/>
      <c r="U23" s="211"/>
    </row>
    <row r="24" spans="2:21" ht="19" x14ac:dyDescent="0.25">
      <c r="B24" s="214"/>
      <c r="C24" s="217">
        <v>5</v>
      </c>
      <c r="D24" s="217" t="s">
        <v>95</v>
      </c>
      <c r="E24" s="217"/>
      <c r="F24" s="217"/>
      <c r="G24" s="217"/>
      <c r="H24" s="217"/>
      <c r="I24" s="217"/>
      <c r="J24" s="217"/>
      <c r="K24" s="217"/>
      <c r="L24" s="210"/>
      <c r="M24" s="210"/>
      <c r="N24" s="210"/>
      <c r="O24" s="210"/>
      <c r="P24" s="210"/>
      <c r="Q24" s="210"/>
      <c r="R24" s="210"/>
      <c r="S24" s="210"/>
      <c r="T24" s="210"/>
      <c r="U24" s="211"/>
    </row>
    <row r="25" spans="2:21" ht="19" x14ac:dyDescent="0.25">
      <c r="B25" s="214"/>
      <c r="C25" s="210"/>
      <c r="D25" s="210"/>
      <c r="E25" s="210"/>
      <c r="F25" s="210"/>
      <c r="G25" s="210"/>
      <c r="H25" s="210"/>
      <c r="I25" s="210"/>
      <c r="J25" s="210"/>
      <c r="K25" s="210"/>
      <c r="L25" s="210"/>
      <c r="M25" s="210"/>
      <c r="N25" s="210"/>
      <c r="O25" s="210"/>
      <c r="P25" s="210"/>
      <c r="Q25" s="210"/>
      <c r="R25" s="210"/>
      <c r="S25" s="210"/>
      <c r="T25" s="210"/>
      <c r="U25" s="211"/>
    </row>
    <row r="26" spans="2:21" ht="19" x14ac:dyDescent="0.25">
      <c r="B26" s="214"/>
      <c r="C26" s="210"/>
      <c r="D26" s="210"/>
      <c r="E26" s="210"/>
      <c r="F26" s="210"/>
      <c r="G26" s="210"/>
      <c r="H26" s="210"/>
      <c r="I26" s="210"/>
      <c r="J26" s="210"/>
      <c r="K26" s="210"/>
      <c r="L26" s="210"/>
      <c r="M26" s="210"/>
      <c r="N26" s="210"/>
      <c r="O26" s="273" t="s">
        <v>118</v>
      </c>
      <c r="P26" s="273"/>
      <c r="Q26" s="273"/>
      <c r="R26" s="273"/>
      <c r="S26" s="273"/>
      <c r="T26" s="273"/>
      <c r="U26" s="274"/>
    </row>
    <row r="27" spans="2:21" x14ac:dyDescent="0.2">
      <c r="B27" s="202"/>
      <c r="C27" s="203"/>
      <c r="D27" s="203"/>
      <c r="E27" s="203"/>
      <c r="F27" s="203"/>
      <c r="G27" s="203"/>
      <c r="H27" s="203"/>
      <c r="I27" s="203"/>
      <c r="J27" s="203"/>
      <c r="K27" s="203"/>
      <c r="L27" s="203"/>
      <c r="M27" s="203"/>
      <c r="N27" s="203"/>
      <c r="O27" s="203"/>
      <c r="P27" s="203"/>
      <c r="Q27" s="203"/>
      <c r="R27" s="203"/>
      <c r="S27" s="203"/>
      <c r="T27" s="203"/>
      <c r="U27" s="204"/>
    </row>
    <row r="28" spans="2:21" x14ac:dyDescent="0.2">
      <c r="B28" s="201"/>
      <c r="C28" s="201"/>
      <c r="D28" s="201"/>
      <c r="E28" s="201"/>
      <c r="F28" s="201"/>
      <c r="G28" s="201"/>
      <c r="H28" s="201"/>
      <c r="I28" s="201"/>
      <c r="J28" s="201"/>
      <c r="K28" s="201"/>
      <c r="L28" s="201"/>
      <c r="M28" s="201"/>
      <c r="N28" s="201"/>
      <c r="O28" s="201"/>
      <c r="P28" s="201"/>
      <c r="Q28" s="201"/>
      <c r="R28" s="201"/>
      <c r="S28" s="201"/>
      <c r="T28" s="201"/>
      <c r="U28" s="201"/>
    </row>
    <row r="29" spans="2:21" x14ac:dyDescent="0.2">
      <c r="B29" s="201"/>
      <c r="C29" s="201"/>
      <c r="D29" s="201"/>
      <c r="E29" s="201"/>
      <c r="F29" s="201"/>
      <c r="G29" s="201"/>
      <c r="H29" s="201"/>
      <c r="I29" s="201"/>
      <c r="J29" s="201"/>
      <c r="K29" s="201"/>
      <c r="L29" s="201"/>
      <c r="M29" s="201"/>
      <c r="N29" s="201"/>
      <c r="O29" s="201"/>
      <c r="P29" s="201"/>
      <c r="Q29" s="201"/>
      <c r="R29" s="201"/>
      <c r="S29" s="201"/>
      <c r="T29" s="201"/>
      <c r="U29" s="201"/>
    </row>
    <row r="30" spans="2:21" x14ac:dyDescent="0.2">
      <c r="B30" s="201"/>
      <c r="C30" s="201"/>
      <c r="D30" s="201"/>
      <c r="E30" s="201"/>
      <c r="F30" s="201"/>
      <c r="G30" s="201"/>
      <c r="H30" s="201"/>
      <c r="I30" s="201"/>
      <c r="J30" s="201"/>
      <c r="K30" s="201"/>
      <c r="L30" s="201"/>
      <c r="M30" s="201"/>
      <c r="N30" s="201"/>
      <c r="O30" s="201"/>
      <c r="P30" s="201"/>
      <c r="Q30" s="201"/>
      <c r="R30" s="201"/>
      <c r="S30" s="201"/>
      <c r="T30" s="201"/>
      <c r="U30" s="201"/>
    </row>
    <row r="31" spans="2:21" x14ac:dyDescent="0.2">
      <c r="B31" s="201"/>
      <c r="C31" s="201"/>
      <c r="D31" s="201"/>
      <c r="E31" s="201"/>
      <c r="F31" s="201"/>
      <c r="G31" s="201"/>
      <c r="H31" s="201"/>
      <c r="I31" s="201"/>
      <c r="J31" s="201"/>
      <c r="K31" s="201"/>
      <c r="L31" s="201"/>
      <c r="M31" s="201"/>
      <c r="N31" s="201"/>
      <c r="O31" s="201"/>
      <c r="P31" s="201"/>
      <c r="Q31" s="201"/>
      <c r="R31" s="201"/>
      <c r="S31" s="201"/>
      <c r="T31" s="201"/>
      <c r="U31" s="201"/>
    </row>
    <row r="32" spans="2:21" x14ac:dyDescent="0.2">
      <c r="B32" s="201"/>
      <c r="C32" s="201"/>
      <c r="D32" s="201"/>
      <c r="E32" s="201"/>
      <c r="F32" s="201"/>
      <c r="G32" s="201"/>
      <c r="H32" s="201"/>
      <c r="I32" s="201"/>
      <c r="J32" s="201"/>
      <c r="K32" s="201"/>
      <c r="L32" s="201"/>
      <c r="M32" s="201"/>
      <c r="N32" s="201"/>
      <c r="O32" s="201"/>
      <c r="P32" s="201"/>
      <c r="Q32" s="201"/>
      <c r="R32" s="201"/>
      <c r="S32" s="201"/>
      <c r="T32" s="201"/>
      <c r="U32" s="201"/>
    </row>
    <row r="33" spans="2:21" x14ac:dyDescent="0.2">
      <c r="B33" s="201"/>
      <c r="C33" s="201"/>
      <c r="D33" s="201"/>
      <c r="E33" s="201"/>
      <c r="F33" s="201"/>
      <c r="G33" s="201"/>
      <c r="H33" s="201"/>
      <c r="I33" s="201"/>
      <c r="J33" s="201"/>
      <c r="K33" s="201"/>
      <c r="L33" s="201"/>
      <c r="M33" s="201"/>
      <c r="N33" s="201"/>
      <c r="O33" s="201"/>
      <c r="P33" s="201"/>
      <c r="Q33" s="201"/>
      <c r="R33" s="201"/>
      <c r="S33" s="201"/>
      <c r="T33" s="201"/>
      <c r="U33" s="201"/>
    </row>
    <row r="34" spans="2:21" x14ac:dyDescent="0.2">
      <c r="B34" s="201"/>
      <c r="C34" s="201"/>
      <c r="D34" s="201"/>
      <c r="E34" s="201"/>
      <c r="F34" s="201"/>
      <c r="G34" s="201"/>
      <c r="H34" s="201"/>
      <c r="I34" s="201"/>
      <c r="J34" s="201"/>
      <c r="K34" s="201"/>
      <c r="L34" s="201"/>
      <c r="M34" s="201"/>
      <c r="N34" s="201"/>
      <c r="O34" s="201"/>
      <c r="P34" s="201"/>
      <c r="Q34" s="201"/>
      <c r="R34" s="201"/>
      <c r="S34" s="201"/>
      <c r="T34" s="201"/>
      <c r="U34" s="201"/>
    </row>
    <row r="35" spans="2:21" x14ac:dyDescent="0.2">
      <c r="B35" s="201"/>
      <c r="C35" s="201"/>
      <c r="D35" s="201"/>
      <c r="E35" s="201"/>
      <c r="F35" s="201"/>
      <c r="G35" s="201"/>
      <c r="H35" s="201"/>
      <c r="I35" s="201"/>
      <c r="J35" s="201"/>
      <c r="K35" s="201"/>
      <c r="L35" s="201"/>
      <c r="M35" s="201"/>
      <c r="N35" s="201"/>
      <c r="O35" s="201"/>
      <c r="P35" s="201"/>
      <c r="Q35" s="201"/>
      <c r="R35" s="201"/>
      <c r="S35" s="201"/>
      <c r="T35" s="201"/>
      <c r="U35" s="201"/>
    </row>
    <row r="36" spans="2:21" x14ac:dyDescent="0.2">
      <c r="B36" s="201"/>
      <c r="C36" s="201"/>
      <c r="D36" s="201"/>
      <c r="E36" s="201"/>
      <c r="F36" s="201"/>
      <c r="G36" s="201"/>
      <c r="H36" s="201"/>
      <c r="I36" s="201"/>
      <c r="J36" s="201"/>
      <c r="K36" s="201"/>
      <c r="L36" s="201"/>
      <c r="M36" s="201"/>
      <c r="N36" s="201"/>
      <c r="O36" s="201"/>
      <c r="P36" s="201"/>
      <c r="Q36" s="201"/>
      <c r="R36" s="201"/>
      <c r="S36" s="201"/>
      <c r="T36" s="201"/>
      <c r="U36" s="201"/>
    </row>
    <row r="37" spans="2:21" x14ac:dyDescent="0.2">
      <c r="B37" s="201"/>
      <c r="C37" s="201"/>
      <c r="D37" s="201"/>
      <c r="E37" s="201"/>
      <c r="F37" s="201"/>
      <c r="G37" s="201"/>
      <c r="H37" s="201"/>
      <c r="I37" s="201"/>
      <c r="J37" s="201"/>
      <c r="K37" s="201"/>
      <c r="L37" s="201"/>
      <c r="M37" s="201"/>
      <c r="N37" s="201"/>
      <c r="O37" s="201"/>
      <c r="P37" s="201"/>
      <c r="Q37" s="201"/>
      <c r="R37" s="201"/>
      <c r="S37" s="201"/>
      <c r="T37" s="201"/>
      <c r="U37" s="201"/>
    </row>
  </sheetData>
  <mergeCells count="86">
    <mergeCell ref="O26:U26"/>
    <mergeCell ref="B6:D6"/>
    <mergeCell ref="E6:F6"/>
    <mergeCell ref="G6:H6"/>
    <mergeCell ref="B15:T18"/>
    <mergeCell ref="B7:D7"/>
    <mergeCell ref="E7:F7"/>
    <mergeCell ref="G7:H7"/>
    <mergeCell ref="B8:D8"/>
    <mergeCell ref="E8:F8"/>
    <mergeCell ref="G8:H8"/>
    <mergeCell ref="B9:D9"/>
    <mergeCell ref="E9:F9"/>
    <mergeCell ref="G9:H9"/>
    <mergeCell ref="B10:D10"/>
    <mergeCell ref="E10:F10"/>
    <mergeCell ref="G10:H10"/>
    <mergeCell ref="E4:H4"/>
    <mergeCell ref="I4:L4"/>
    <mergeCell ref="I5:J5"/>
    <mergeCell ref="K5:L5"/>
    <mergeCell ref="I6:J6"/>
    <mergeCell ref="K6:L6"/>
    <mergeCell ref="E5:F5"/>
    <mergeCell ref="G5:H5"/>
    <mergeCell ref="I10:J10"/>
    <mergeCell ref="K10:L10"/>
    <mergeCell ref="K7:L7"/>
    <mergeCell ref="I8:J8"/>
    <mergeCell ref="K8:L8"/>
    <mergeCell ref="I9:J9"/>
    <mergeCell ref="K9:L9"/>
    <mergeCell ref="B13:D13"/>
    <mergeCell ref="E13:F13"/>
    <mergeCell ref="G13:H13"/>
    <mergeCell ref="B11:D11"/>
    <mergeCell ref="E11:F11"/>
    <mergeCell ref="G11:H11"/>
    <mergeCell ref="B12:D12"/>
    <mergeCell ref="E12:F12"/>
    <mergeCell ref="G12:H12"/>
    <mergeCell ref="I11:J11"/>
    <mergeCell ref="K11:L11"/>
    <mergeCell ref="I12:J12"/>
    <mergeCell ref="K12:L12"/>
    <mergeCell ref="I13:J13"/>
    <mergeCell ref="I7:J7"/>
    <mergeCell ref="S10:T10"/>
    <mergeCell ref="Q11:R11"/>
    <mergeCell ref="S11:T11"/>
    <mergeCell ref="K13:L13"/>
    <mergeCell ref="M13:N13"/>
    <mergeCell ref="O13:P13"/>
    <mergeCell ref="M8:N8"/>
    <mergeCell ref="O8:P8"/>
    <mergeCell ref="M9:N9"/>
    <mergeCell ref="O9:P9"/>
    <mergeCell ref="M10:N10"/>
    <mergeCell ref="M11:N11"/>
    <mergeCell ref="O11:P11"/>
    <mergeCell ref="M12:N12"/>
    <mergeCell ref="O12:P12"/>
    <mergeCell ref="M4:P4"/>
    <mergeCell ref="M5:N5"/>
    <mergeCell ref="O5:P5"/>
    <mergeCell ref="M6:N6"/>
    <mergeCell ref="O6:P6"/>
    <mergeCell ref="M7:N7"/>
    <mergeCell ref="O7:P7"/>
    <mergeCell ref="O10:P10"/>
    <mergeCell ref="Q12:R12"/>
    <mergeCell ref="S12:T12"/>
    <mergeCell ref="Q13:R13"/>
    <mergeCell ref="S13:T13"/>
    <mergeCell ref="Q4:T4"/>
    <mergeCell ref="Q5:R5"/>
    <mergeCell ref="S5:T5"/>
    <mergeCell ref="Q6:R6"/>
    <mergeCell ref="S6:T6"/>
    <mergeCell ref="Q7:R7"/>
    <mergeCell ref="S7:T7"/>
    <mergeCell ref="Q8:R8"/>
    <mergeCell ref="S8:T8"/>
    <mergeCell ref="Q9:R9"/>
    <mergeCell ref="S9:T9"/>
    <mergeCell ref="Q10:R10"/>
  </mergeCells>
  <pageMargins left="0.70866141732283472" right="0.70866141732283472" top="0.74803149606299213" bottom="0.74803149606299213" header="0.31496062992125984" footer="0.31496062992125984"/>
  <pageSetup paperSize="9" scale="49"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9CCA8-7F95-431B-8375-FA9330227BB5}">
  <dimension ref="A1:AX120"/>
  <sheetViews>
    <sheetView view="pageBreakPreview" zoomScale="85" zoomScaleNormal="85" zoomScaleSheetLayoutView="85" workbookViewId="0">
      <selection activeCell="C37" sqref="C37:E38"/>
    </sheetView>
  </sheetViews>
  <sheetFormatPr baseColWidth="10" defaultColWidth="9.1640625" defaultRowHeight="15" x14ac:dyDescent="0.2"/>
  <cols>
    <col min="1" max="1" width="14.33203125" style="32" customWidth="1"/>
    <col min="2" max="2" width="7.83203125" style="23" customWidth="1"/>
    <col min="3" max="3" width="9.1640625" style="22" customWidth="1"/>
    <col min="4" max="4" width="45" style="22" customWidth="1"/>
    <col min="5" max="5" width="25.33203125" style="22" customWidth="1"/>
    <col min="6" max="6" width="13.33203125" style="22" customWidth="1"/>
    <col min="7" max="8" width="9.6640625" style="22" bestFit="1" customWidth="1"/>
    <col min="9" max="9" width="12.5" style="22" customWidth="1"/>
    <col min="10" max="30" width="9.33203125" style="22" customWidth="1"/>
    <col min="31" max="31" width="9.33203125" style="22" hidden="1" customWidth="1"/>
    <col min="32" max="40" width="9.33203125" style="22" customWidth="1"/>
    <col min="41" max="41" width="9.33203125" style="22" hidden="1" customWidth="1"/>
    <col min="42" max="42" width="10.5" style="22" bestFit="1" customWidth="1"/>
    <col min="43" max="43" width="7.1640625" style="22" bestFit="1" customWidth="1"/>
    <col min="44" max="44" width="11.6640625" style="22" bestFit="1" customWidth="1"/>
    <col min="45" max="45" width="12.6640625" style="23" customWidth="1"/>
    <col min="46" max="50" width="9.33203125" style="23" customWidth="1"/>
    <col min="51" max="51" width="9.33203125" style="22" customWidth="1"/>
    <col min="52" max="16384" width="9.1640625" style="22"/>
  </cols>
  <sheetData>
    <row r="1" spans="1:50" ht="16" x14ac:dyDescent="0.2">
      <c r="C1" s="215" t="s">
        <v>26</v>
      </c>
      <c r="D1" s="38"/>
      <c r="E1" s="68" t="s">
        <v>67</v>
      </c>
      <c r="F1" s="164">
        <v>500</v>
      </c>
      <c r="G1" s="24"/>
      <c r="H1" s="24"/>
      <c r="I1" s="24"/>
      <c r="J1" s="24"/>
      <c r="K1" s="24"/>
      <c r="O1" s="24"/>
      <c r="AR1" s="23"/>
      <c r="AX1" s="22"/>
    </row>
    <row r="2" spans="1:50" ht="16" x14ac:dyDescent="0.2">
      <c r="C2" s="216" t="s">
        <v>27</v>
      </c>
      <c r="D2" s="25"/>
      <c r="E2" s="68" t="s">
        <v>59</v>
      </c>
      <c r="F2" s="165">
        <v>250000000</v>
      </c>
      <c r="G2" s="24"/>
      <c r="H2" s="24"/>
      <c r="I2" s="24"/>
      <c r="J2" s="24"/>
      <c r="K2" s="50"/>
      <c r="N2"/>
      <c r="O2" s="26"/>
      <c r="P2" s="23"/>
      <c r="Q2" s="23"/>
      <c r="R2" s="23"/>
      <c r="S2" s="23"/>
      <c r="T2" s="23"/>
      <c r="U2" s="23"/>
      <c r="V2" s="23"/>
      <c r="W2" s="23"/>
      <c r="X2" s="23"/>
      <c r="Y2" s="23"/>
      <c r="Z2" s="23"/>
      <c r="AI2"/>
      <c r="AJ2"/>
      <c r="AK2"/>
      <c r="AL2"/>
      <c r="AM2"/>
      <c r="AR2" s="23"/>
      <c r="AX2" s="22"/>
    </row>
    <row r="3" spans="1:50" ht="24" x14ac:dyDescent="0.2">
      <c r="C3" s="286" t="s">
        <v>40</v>
      </c>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I3"/>
      <c r="AJ3"/>
      <c r="AK3"/>
      <c r="AL3"/>
      <c r="AM3"/>
      <c r="AR3" s="23"/>
      <c r="AX3" s="22"/>
    </row>
    <row r="4" spans="1:50" x14ac:dyDescent="0.2">
      <c r="C4" s="322" t="s">
        <v>15</v>
      </c>
      <c r="D4" s="323"/>
      <c r="E4" s="323"/>
      <c r="F4" s="323"/>
      <c r="G4" s="314" t="s">
        <v>17</v>
      </c>
      <c r="H4" s="315"/>
      <c r="I4" s="315"/>
      <c r="J4" s="315"/>
      <c r="K4" s="315"/>
      <c r="L4" s="315"/>
      <c r="M4" s="315"/>
      <c r="N4" s="315"/>
      <c r="O4" s="315"/>
      <c r="P4" s="315"/>
      <c r="Q4" s="315"/>
      <c r="R4" s="316"/>
      <c r="S4" s="126"/>
      <c r="T4" s="126"/>
      <c r="U4" s="126"/>
      <c r="V4" s="126"/>
      <c r="W4" s="126"/>
      <c r="X4" s="126"/>
      <c r="Y4" s="126"/>
      <c r="Z4" s="126"/>
      <c r="AA4" s="127"/>
      <c r="AB4" s="127"/>
      <c r="AC4" s="127"/>
      <c r="AD4" s="127"/>
      <c r="AE4" s="127"/>
      <c r="AF4" s="127"/>
      <c r="AG4" s="127"/>
      <c r="AH4" s="128"/>
      <c r="AI4"/>
      <c r="AJ4"/>
      <c r="AK4"/>
      <c r="AL4"/>
      <c r="AM4"/>
      <c r="AR4" s="23"/>
      <c r="AX4" s="22"/>
    </row>
    <row r="5" spans="1:50" x14ac:dyDescent="0.2">
      <c r="C5" s="317" t="s">
        <v>16</v>
      </c>
      <c r="D5" s="318"/>
      <c r="E5" s="318"/>
      <c r="F5" s="318"/>
      <c r="G5" s="305" t="s">
        <v>18</v>
      </c>
      <c r="H5" s="306"/>
      <c r="I5" s="306"/>
      <c r="J5" s="306"/>
      <c r="K5" s="306"/>
      <c r="L5" s="306"/>
      <c r="M5" s="306"/>
      <c r="N5" s="306"/>
      <c r="O5" s="306"/>
      <c r="P5" s="306"/>
      <c r="Q5" s="306"/>
      <c r="R5" s="306"/>
      <c r="S5" s="306"/>
      <c r="T5" s="306"/>
      <c r="U5" s="306"/>
      <c r="V5" s="306"/>
      <c r="W5" s="306"/>
      <c r="X5" s="306"/>
      <c r="Y5" s="306"/>
      <c r="Z5" s="306"/>
      <c r="AA5" s="306"/>
      <c r="AB5" s="306"/>
      <c r="AC5" s="306"/>
      <c r="AD5" s="307"/>
      <c r="AE5" s="107"/>
      <c r="AF5" s="116"/>
      <c r="AG5" s="116"/>
      <c r="AH5" s="120"/>
      <c r="AI5"/>
      <c r="AJ5"/>
      <c r="AK5"/>
      <c r="AL5"/>
      <c r="AM5"/>
      <c r="AR5" s="23"/>
      <c r="AX5" s="22"/>
    </row>
    <row r="6" spans="1:50" x14ac:dyDescent="0.2">
      <c r="C6" s="346" t="s">
        <v>45</v>
      </c>
      <c r="D6" s="347"/>
      <c r="E6" s="347"/>
      <c r="F6" s="348"/>
      <c r="G6" s="352" t="s">
        <v>46</v>
      </c>
      <c r="H6" s="353"/>
      <c r="I6" s="353"/>
      <c r="J6" s="353"/>
      <c r="K6" s="326"/>
      <c r="L6" s="116"/>
      <c r="M6" s="116"/>
      <c r="N6" s="116"/>
      <c r="O6" s="116"/>
      <c r="P6" s="116"/>
      <c r="Q6" s="116"/>
      <c r="R6" s="133"/>
      <c r="S6" s="116"/>
      <c r="T6" s="116"/>
      <c r="U6" s="116"/>
      <c r="V6" s="116"/>
      <c r="W6" s="116"/>
      <c r="X6" s="116"/>
      <c r="Y6" s="116"/>
      <c r="Z6" s="116"/>
      <c r="AA6" s="116"/>
      <c r="AB6" s="116"/>
      <c r="AC6" s="116"/>
      <c r="AD6" s="133"/>
      <c r="AE6" s="116"/>
      <c r="AF6" s="116"/>
      <c r="AG6" s="116"/>
      <c r="AH6" s="124"/>
      <c r="AI6"/>
      <c r="AJ6"/>
      <c r="AK6"/>
      <c r="AL6"/>
      <c r="AM6"/>
      <c r="AR6" s="23"/>
      <c r="AX6" s="22"/>
    </row>
    <row r="7" spans="1:50" x14ac:dyDescent="0.2">
      <c r="C7" s="349"/>
      <c r="D7" s="350"/>
      <c r="E7" s="350"/>
      <c r="F7" s="351"/>
      <c r="G7" s="343" t="s">
        <v>55</v>
      </c>
      <c r="H7" s="344"/>
      <c r="I7" s="344"/>
      <c r="J7" s="344"/>
      <c r="K7" s="344"/>
      <c r="L7" s="344"/>
      <c r="M7" s="344"/>
      <c r="N7" s="344"/>
      <c r="O7" s="344"/>
      <c r="P7" s="344"/>
      <c r="Q7" s="344"/>
      <c r="R7" s="344"/>
      <c r="S7" s="344"/>
      <c r="T7" s="344"/>
      <c r="U7" s="344"/>
      <c r="V7" s="344"/>
      <c r="W7" s="344"/>
      <c r="X7" s="344"/>
      <c r="Y7" s="344"/>
      <c r="Z7" s="344"/>
      <c r="AA7" s="344"/>
      <c r="AB7" s="344"/>
      <c r="AC7" s="344"/>
      <c r="AD7" s="345"/>
      <c r="AE7" s="116"/>
      <c r="AF7" s="116"/>
      <c r="AG7" s="116"/>
      <c r="AH7" s="124"/>
      <c r="AI7"/>
      <c r="AJ7"/>
      <c r="AK7"/>
      <c r="AL7"/>
      <c r="AM7"/>
      <c r="AR7" s="23"/>
      <c r="AX7" s="22"/>
    </row>
    <row r="8" spans="1:50" s="110" customFormat="1" x14ac:dyDescent="0.2">
      <c r="A8" s="108"/>
      <c r="B8" s="109"/>
      <c r="C8" s="349"/>
      <c r="D8" s="350"/>
      <c r="E8" s="350"/>
      <c r="F8" s="351"/>
      <c r="G8" s="116"/>
      <c r="H8" s="116"/>
      <c r="I8" s="116"/>
      <c r="J8" s="116"/>
      <c r="K8" s="354" t="s">
        <v>56</v>
      </c>
      <c r="L8" s="355"/>
      <c r="M8" s="355"/>
      <c r="N8" s="355"/>
      <c r="O8" s="355"/>
      <c r="P8" s="355"/>
      <c r="Q8" s="355"/>
      <c r="R8" s="355"/>
      <c r="S8" s="355"/>
      <c r="T8" s="355"/>
      <c r="U8" s="355"/>
      <c r="V8" s="355"/>
      <c r="W8" s="355"/>
      <c r="X8" s="355"/>
      <c r="Y8" s="355"/>
      <c r="Z8" s="355"/>
      <c r="AA8" s="355"/>
      <c r="AB8" s="355"/>
      <c r="AC8" s="355"/>
      <c r="AD8" s="356"/>
      <c r="AE8" s="116"/>
      <c r="AF8" s="116"/>
      <c r="AG8" s="116"/>
      <c r="AH8" s="124"/>
      <c r="AI8"/>
      <c r="AJ8"/>
      <c r="AK8"/>
      <c r="AL8"/>
      <c r="AM8"/>
      <c r="AR8" s="109"/>
      <c r="AS8" s="109"/>
      <c r="AT8" s="109"/>
      <c r="AU8" s="109"/>
      <c r="AV8" s="109"/>
      <c r="AW8" s="109"/>
    </row>
    <row r="9" spans="1:50" s="110" customFormat="1" x14ac:dyDescent="0.2">
      <c r="A9" s="108"/>
      <c r="B9" s="109"/>
      <c r="C9" s="349"/>
      <c r="D9" s="350"/>
      <c r="E9" s="350"/>
      <c r="F9" s="351"/>
      <c r="G9" s="116"/>
      <c r="H9" s="116"/>
      <c r="I9" s="116"/>
      <c r="J9" s="116"/>
      <c r="K9" s="130"/>
      <c r="L9" s="116"/>
      <c r="M9" s="132"/>
      <c r="N9" s="156"/>
      <c r="O9" s="156"/>
      <c r="P9" s="155"/>
      <c r="Q9" s="158" t="s">
        <v>87</v>
      </c>
      <c r="R9" s="157"/>
      <c r="S9" s="116"/>
      <c r="T9" s="116"/>
      <c r="U9" s="116"/>
      <c r="V9" s="116"/>
      <c r="W9" s="116"/>
      <c r="X9" s="116"/>
      <c r="Y9" s="116"/>
      <c r="Z9" s="116"/>
      <c r="AA9" s="116"/>
      <c r="AB9" s="116"/>
      <c r="AC9" s="116"/>
      <c r="AD9" s="134"/>
      <c r="AE9" s="116"/>
      <c r="AF9" s="116"/>
      <c r="AG9" s="116"/>
      <c r="AH9" s="124"/>
      <c r="AI9"/>
      <c r="AJ9"/>
      <c r="AK9"/>
      <c r="AL9"/>
      <c r="AM9"/>
      <c r="AR9" s="109"/>
      <c r="AS9" s="109"/>
      <c r="AT9" s="109"/>
      <c r="AU9" s="109"/>
      <c r="AV9" s="109"/>
      <c r="AW9" s="109"/>
    </row>
    <row r="10" spans="1:50" s="110" customFormat="1" x14ac:dyDescent="0.2">
      <c r="A10" s="108"/>
      <c r="B10" s="109"/>
      <c r="C10" s="349"/>
      <c r="D10" s="350"/>
      <c r="E10" s="350"/>
      <c r="F10" s="351"/>
      <c r="G10" s="116"/>
      <c r="H10" s="116"/>
      <c r="I10" s="116"/>
      <c r="J10" s="116"/>
      <c r="K10" s="130"/>
      <c r="L10" s="116"/>
      <c r="M10" s="116"/>
      <c r="N10" s="116"/>
      <c r="O10" s="116"/>
      <c r="P10" s="123"/>
      <c r="Q10" s="158"/>
      <c r="R10" s="161" t="s">
        <v>49</v>
      </c>
      <c r="S10" s="116"/>
      <c r="T10" s="116"/>
      <c r="U10" s="116"/>
      <c r="V10" s="116"/>
      <c r="W10" s="116"/>
      <c r="X10" s="116"/>
      <c r="Y10" s="116"/>
      <c r="Z10" s="116"/>
      <c r="AA10" s="116"/>
      <c r="AB10" s="116"/>
      <c r="AC10" s="116"/>
      <c r="AD10" s="134"/>
      <c r="AE10" s="116"/>
      <c r="AF10" s="116"/>
      <c r="AG10" s="116"/>
      <c r="AH10" s="124"/>
      <c r="AI10"/>
      <c r="AJ10"/>
      <c r="AK10"/>
      <c r="AL10"/>
      <c r="AM10"/>
      <c r="AR10" s="109"/>
      <c r="AS10" s="109"/>
      <c r="AT10" s="109"/>
      <c r="AU10" s="109"/>
      <c r="AV10" s="109"/>
      <c r="AW10" s="109"/>
    </row>
    <row r="11" spans="1:50" s="110" customFormat="1" ht="16" thickBot="1" x14ac:dyDescent="0.25">
      <c r="A11" s="108"/>
      <c r="B11" s="109"/>
      <c r="C11" s="349"/>
      <c r="D11" s="350"/>
      <c r="E11" s="350"/>
      <c r="F11" s="351"/>
      <c r="G11" s="116"/>
      <c r="H11" s="116"/>
      <c r="I11" s="116"/>
      <c r="J11" s="116"/>
      <c r="K11" s="130"/>
      <c r="L11" s="116"/>
      <c r="M11" s="116"/>
      <c r="N11" s="116"/>
      <c r="O11" s="116"/>
      <c r="P11" s="116"/>
      <c r="Q11" s="116"/>
      <c r="R11" s="116"/>
      <c r="S11" s="357" t="s">
        <v>57</v>
      </c>
      <c r="T11" s="358"/>
      <c r="U11" s="358"/>
      <c r="V11" s="358"/>
      <c r="W11" s="358"/>
      <c r="X11" s="358"/>
      <c r="Y11" s="358"/>
      <c r="Z11" s="358"/>
      <c r="AA11" s="358"/>
      <c r="AB11" s="358"/>
      <c r="AC11" s="358"/>
      <c r="AD11" s="359"/>
      <c r="AE11" s="116"/>
      <c r="AF11" s="116"/>
      <c r="AG11" s="116"/>
      <c r="AH11" s="124"/>
      <c r="AI11"/>
      <c r="AJ11"/>
      <c r="AK11"/>
      <c r="AL11"/>
      <c r="AM11"/>
      <c r="AR11" s="109"/>
      <c r="AS11" s="109"/>
      <c r="AT11" s="109"/>
      <c r="AU11" s="109"/>
      <c r="AV11" s="109"/>
      <c r="AW11" s="109"/>
    </row>
    <row r="12" spans="1:50" ht="46" thickBot="1" x14ac:dyDescent="0.25">
      <c r="A12" s="200" t="s">
        <v>82</v>
      </c>
      <c r="C12" s="72" t="s">
        <v>0</v>
      </c>
      <c r="D12" s="73"/>
      <c r="E12" s="73" t="s">
        <v>1</v>
      </c>
      <c r="F12" s="74"/>
      <c r="G12" s="69">
        <v>44927</v>
      </c>
      <c r="H12" s="69">
        <v>44958</v>
      </c>
      <c r="I12" s="69">
        <v>44986</v>
      </c>
      <c r="J12" s="69">
        <v>45017</v>
      </c>
      <c r="K12" s="69">
        <v>45047</v>
      </c>
      <c r="L12" s="69">
        <v>45078</v>
      </c>
      <c r="M12" s="69">
        <v>45108</v>
      </c>
      <c r="N12" s="69">
        <v>45139</v>
      </c>
      <c r="O12" s="69">
        <v>45170</v>
      </c>
      <c r="P12" s="69">
        <v>45200</v>
      </c>
      <c r="Q12" s="69">
        <v>45231</v>
      </c>
      <c r="R12" s="69">
        <v>45261</v>
      </c>
      <c r="S12" s="70">
        <v>45292</v>
      </c>
      <c r="T12" s="70">
        <v>45323</v>
      </c>
      <c r="U12" s="70">
        <v>45352</v>
      </c>
      <c r="V12" s="70">
        <v>45383</v>
      </c>
      <c r="W12" s="70">
        <v>45413</v>
      </c>
      <c r="X12" s="70">
        <v>45444</v>
      </c>
      <c r="Y12" s="70">
        <v>45474</v>
      </c>
      <c r="Z12" s="70">
        <v>45505</v>
      </c>
      <c r="AA12" s="70">
        <v>45536</v>
      </c>
      <c r="AB12" s="70">
        <v>45566</v>
      </c>
      <c r="AC12" s="70">
        <v>45597</v>
      </c>
      <c r="AD12" s="70">
        <v>45627</v>
      </c>
      <c r="AE12" s="16">
        <v>45658</v>
      </c>
      <c r="AF12" s="159" t="s">
        <v>2</v>
      </c>
      <c r="AG12" s="160" t="s">
        <v>6</v>
      </c>
      <c r="AH12" s="160" t="s">
        <v>7</v>
      </c>
      <c r="AI12"/>
      <c r="AJ12"/>
      <c r="AK12"/>
      <c r="AL12"/>
      <c r="AM12"/>
      <c r="AN12"/>
      <c r="AR12" s="23"/>
      <c r="AW12" s="22"/>
      <c r="AX12" s="22"/>
    </row>
    <row r="13" spans="1:50" s="28" customFormat="1" x14ac:dyDescent="0.2">
      <c r="A13" s="33" t="s">
        <v>32</v>
      </c>
      <c r="B13" s="23"/>
      <c r="C13" s="330" t="s">
        <v>3</v>
      </c>
      <c r="D13" s="331"/>
      <c r="E13" s="331"/>
      <c r="F13" s="331"/>
      <c r="G13" s="334">
        <v>2023</v>
      </c>
      <c r="H13" s="335"/>
      <c r="I13" s="335"/>
      <c r="J13" s="335"/>
      <c r="K13" s="335"/>
      <c r="L13" s="335"/>
      <c r="M13" s="335"/>
      <c r="N13" s="335"/>
      <c r="O13" s="335"/>
      <c r="P13" s="335"/>
      <c r="Q13" s="335"/>
      <c r="R13" s="336"/>
      <c r="S13" s="308">
        <v>2024</v>
      </c>
      <c r="T13" s="309"/>
      <c r="U13" s="309"/>
      <c r="V13" s="309"/>
      <c r="W13" s="309"/>
      <c r="X13" s="309"/>
      <c r="Y13" s="309"/>
      <c r="Z13" s="309"/>
      <c r="AA13" s="309"/>
      <c r="AB13" s="309"/>
      <c r="AC13" s="309"/>
      <c r="AD13" s="310"/>
      <c r="AE13" s="171"/>
      <c r="AF13" s="27"/>
      <c r="AG13" s="27"/>
      <c r="AH13" s="27"/>
      <c r="AI13"/>
      <c r="AJ13"/>
      <c r="AK13"/>
      <c r="AL13"/>
      <c r="AM13"/>
      <c r="AN13"/>
      <c r="AR13" s="23"/>
      <c r="AS13" s="23"/>
      <c r="AT13" s="23"/>
      <c r="AU13" s="23"/>
      <c r="AV13" s="23"/>
    </row>
    <row r="14" spans="1:50" s="28" customFormat="1" x14ac:dyDescent="0.2">
      <c r="A14" s="34"/>
      <c r="B14" s="23"/>
      <c r="C14" s="332" t="s">
        <v>4</v>
      </c>
      <c r="D14" s="333"/>
      <c r="E14" s="333"/>
      <c r="F14" s="333"/>
      <c r="G14" s="1">
        <f>(H12-G12)/7</f>
        <v>4.4285714285714288</v>
      </c>
      <c r="H14" s="2">
        <f t="shared" ref="H14:AC14" si="0">(I12-H12)/7</f>
        <v>4</v>
      </c>
      <c r="I14" s="2">
        <f t="shared" si="0"/>
        <v>4.4285714285714288</v>
      </c>
      <c r="J14" s="2">
        <f t="shared" si="0"/>
        <v>4.2857142857142856</v>
      </c>
      <c r="K14" s="2">
        <f t="shared" si="0"/>
        <v>4.4285714285714288</v>
      </c>
      <c r="L14" s="2">
        <f t="shared" si="0"/>
        <v>4.2857142857142856</v>
      </c>
      <c r="M14" s="2">
        <f t="shared" si="0"/>
        <v>4.4285714285714288</v>
      </c>
      <c r="N14" s="2">
        <f t="shared" si="0"/>
        <v>4.4285714285714288</v>
      </c>
      <c r="O14" s="2">
        <f t="shared" si="0"/>
        <v>4.2857142857142856</v>
      </c>
      <c r="P14" s="2">
        <f t="shared" si="0"/>
        <v>4.4285714285714288</v>
      </c>
      <c r="Q14" s="2">
        <f t="shared" si="0"/>
        <v>4.2857142857142856</v>
      </c>
      <c r="R14" s="3">
        <f t="shared" si="0"/>
        <v>4.4285714285714288</v>
      </c>
      <c r="S14" s="1">
        <f t="shared" si="0"/>
        <v>4.4285714285714288</v>
      </c>
      <c r="T14" s="2">
        <f t="shared" si="0"/>
        <v>4.1428571428571432</v>
      </c>
      <c r="U14" s="2">
        <f t="shared" si="0"/>
        <v>4.4285714285714288</v>
      </c>
      <c r="V14" s="2">
        <f t="shared" si="0"/>
        <v>4.2857142857142856</v>
      </c>
      <c r="W14" s="2">
        <f t="shared" si="0"/>
        <v>4.4285714285714288</v>
      </c>
      <c r="X14" s="2">
        <f t="shared" si="0"/>
        <v>4.2857142857142856</v>
      </c>
      <c r="Y14" s="2">
        <f t="shared" si="0"/>
        <v>4.4285714285714288</v>
      </c>
      <c r="Z14" s="2">
        <f t="shared" si="0"/>
        <v>4.4285714285714288</v>
      </c>
      <c r="AA14" s="2">
        <f t="shared" si="0"/>
        <v>4.2857142857142856</v>
      </c>
      <c r="AB14" s="2">
        <f t="shared" si="0"/>
        <v>4.4285714285714288</v>
      </c>
      <c r="AC14" s="2">
        <f t="shared" si="0"/>
        <v>4.2857142857142856</v>
      </c>
      <c r="AD14" s="3">
        <f>(AE12-AD12)/7</f>
        <v>4.4285714285714288</v>
      </c>
      <c r="AE14" s="59"/>
      <c r="AF14" s="4"/>
      <c r="AG14" s="4"/>
      <c r="AH14" s="4"/>
      <c r="AI14"/>
      <c r="AJ14"/>
      <c r="AK14"/>
      <c r="AL14"/>
      <c r="AM14"/>
      <c r="AN14"/>
      <c r="AR14" s="23"/>
      <c r="AS14" s="23"/>
      <c r="AT14" s="23"/>
      <c r="AU14" s="23"/>
      <c r="AV14" s="23"/>
    </row>
    <row r="15" spans="1:50" s="28" customFormat="1" x14ac:dyDescent="0.2">
      <c r="A15" s="34"/>
      <c r="B15" s="23"/>
      <c r="C15" s="332" t="s">
        <v>5</v>
      </c>
      <c r="D15" s="333"/>
      <c r="E15" s="333"/>
      <c r="F15" s="333"/>
      <c r="G15" s="1">
        <v>1</v>
      </c>
      <c r="H15" s="2">
        <f t="shared" ref="H15:N15" si="1">G15</f>
        <v>1</v>
      </c>
      <c r="I15" s="2">
        <f t="shared" si="1"/>
        <v>1</v>
      </c>
      <c r="J15" s="2">
        <f t="shared" si="1"/>
        <v>1</v>
      </c>
      <c r="K15" s="2">
        <f t="shared" si="1"/>
        <v>1</v>
      </c>
      <c r="L15" s="2">
        <f t="shared" si="1"/>
        <v>1</v>
      </c>
      <c r="M15" s="2">
        <v>1.05</v>
      </c>
      <c r="N15" s="2">
        <f t="shared" si="1"/>
        <v>1.05</v>
      </c>
      <c r="O15" s="2">
        <f t="shared" ref="O15" si="2">N15</f>
        <v>1.05</v>
      </c>
      <c r="P15" s="2">
        <f t="shared" ref="P15" si="3">O15</f>
        <v>1.05</v>
      </c>
      <c r="Q15" s="2">
        <f t="shared" ref="Q15" si="4">P15</f>
        <v>1.05</v>
      </c>
      <c r="R15" s="3">
        <f t="shared" ref="R15" si="5">Q15</f>
        <v>1.05</v>
      </c>
      <c r="S15" s="1">
        <f t="shared" ref="S15" si="6">R15</f>
        <v>1.05</v>
      </c>
      <c r="T15" s="2">
        <f t="shared" ref="T15" si="7">S15</f>
        <v>1.05</v>
      </c>
      <c r="U15" s="2">
        <f t="shared" ref="U15" si="8">T15</f>
        <v>1.05</v>
      </c>
      <c r="V15" s="2">
        <f t="shared" ref="V15" si="9">U15</f>
        <v>1.05</v>
      </c>
      <c r="W15" s="2">
        <f t="shared" ref="W15" si="10">V15</f>
        <v>1.05</v>
      </c>
      <c r="X15" s="2">
        <f t="shared" ref="X15" si="11">W15</f>
        <v>1.05</v>
      </c>
      <c r="Y15" s="2">
        <f>X15*1.05</f>
        <v>1.1025</v>
      </c>
      <c r="Z15" s="2">
        <f t="shared" ref="Z15" si="12">Y15</f>
        <v>1.1025</v>
      </c>
      <c r="AA15" s="2">
        <f>Z15</f>
        <v>1.1025</v>
      </c>
      <c r="AB15" s="2">
        <f>AA15</f>
        <v>1.1025</v>
      </c>
      <c r="AC15" s="2">
        <f>AB15</f>
        <v>1.1025</v>
      </c>
      <c r="AD15" s="3">
        <f>AC15</f>
        <v>1.1025</v>
      </c>
      <c r="AE15" s="111"/>
      <c r="AF15" s="4"/>
      <c r="AG15" s="4"/>
      <c r="AH15" s="4"/>
      <c r="AI15"/>
      <c r="AJ15"/>
      <c r="AK15"/>
      <c r="AL15"/>
      <c r="AM15"/>
      <c r="AN15"/>
      <c r="AR15" s="23"/>
      <c r="AS15" s="23"/>
      <c r="AT15" s="23"/>
      <c r="AU15" s="23"/>
      <c r="AV15" s="23"/>
    </row>
    <row r="16" spans="1:50" x14ac:dyDescent="0.2">
      <c r="A16" s="34"/>
      <c r="C16" s="29" t="s">
        <v>37</v>
      </c>
      <c r="D16" s="21"/>
      <c r="E16" s="61" t="s">
        <v>83</v>
      </c>
      <c r="F16" s="12"/>
      <c r="G16" s="5"/>
      <c r="H16" s="6"/>
      <c r="I16" s="6"/>
      <c r="J16" s="6"/>
      <c r="K16" s="6"/>
      <c r="L16" s="6"/>
      <c r="M16" s="6"/>
      <c r="N16" s="6"/>
      <c r="O16" s="6"/>
      <c r="P16" s="6"/>
      <c r="Q16" s="6"/>
      <c r="R16" s="15"/>
      <c r="S16" s="5"/>
      <c r="T16" s="6"/>
      <c r="U16" s="6"/>
      <c r="V16" s="6"/>
      <c r="W16" s="6"/>
      <c r="X16" s="6"/>
      <c r="Y16" s="6"/>
      <c r="Z16" s="6"/>
      <c r="AA16" s="6"/>
      <c r="AB16" s="6"/>
      <c r="AC16" s="6"/>
      <c r="AD16" s="7"/>
      <c r="AE16" s="13"/>
      <c r="AF16" s="8"/>
      <c r="AG16" s="8"/>
      <c r="AH16" s="8"/>
      <c r="AI16"/>
      <c r="AJ16"/>
      <c r="AK16"/>
      <c r="AL16"/>
      <c r="AM16"/>
      <c r="AN16"/>
      <c r="AR16" s="23"/>
      <c r="AW16" s="22"/>
      <c r="AX16" s="22"/>
    </row>
    <row r="17" spans="1:50" x14ac:dyDescent="0.2">
      <c r="A17" s="35">
        <v>10876.281755196305</v>
      </c>
      <c r="C17" s="53"/>
      <c r="D17" s="58" t="s">
        <v>14</v>
      </c>
      <c r="E17" s="71">
        <f t="shared" ref="E17:E27" si="13">A17</f>
        <v>10876.281755196305</v>
      </c>
      <c r="F17" s="54"/>
      <c r="G17" s="63"/>
      <c r="H17" s="41"/>
      <c r="I17" s="41"/>
      <c r="J17" s="41"/>
      <c r="K17" s="41"/>
      <c r="L17" s="41"/>
      <c r="M17" s="41"/>
      <c r="N17" s="41"/>
      <c r="O17" s="41"/>
      <c r="P17" s="41"/>
      <c r="Q17" s="41"/>
      <c r="R17" s="75"/>
      <c r="S17" s="42"/>
      <c r="T17" s="41"/>
      <c r="U17" s="41"/>
      <c r="V17" s="41"/>
      <c r="W17" s="41"/>
      <c r="X17" s="41"/>
      <c r="Y17" s="41"/>
      <c r="Z17" s="41"/>
      <c r="AA17" s="41"/>
      <c r="AB17" s="41"/>
      <c r="AC17" s="41"/>
      <c r="AD17" s="41"/>
      <c r="AE17" s="112"/>
      <c r="AF17" s="30"/>
      <c r="AG17" s="57"/>
      <c r="AH17" s="30"/>
      <c r="AI17"/>
      <c r="AJ17"/>
      <c r="AK17"/>
      <c r="AL17"/>
      <c r="AM17"/>
      <c r="AN17"/>
      <c r="AR17" s="23"/>
      <c r="AW17" s="22"/>
      <c r="AX17" s="22"/>
    </row>
    <row r="18" spans="1:50" x14ac:dyDescent="0.2">
      <c r="A18" s="35">
        <v>9887.5288683602776</v>
      </c>
      <c r="C18" s="53"/>
      <c r="D18" s="58" t="s">
        <v>12</v>
      </c>
      <c r="E18" s="71">
        <f t="shared" si="13"/>
        <v>9887.5288683602776</v>
      </c>
      <c r="F18" s="54"/>
      <c r="G18" s="63"/>
      <c r="H18" s="41"/>
      <c r="I18" s="41"/>
      <c r="J18" s="41"/>
      <c r="K18" s="41"/>
      <c r="L18" s="41"/>
      <c r="M18" s="41"/>
      <c r="N18" s="41"/>
      <c r="O18" s="41"/>
      <c r="P18" s="41"/>
      <c r="Q18" s="41"/>
      <c r="R18" s="76"/>
      <c r="S18" s="42"/>
      <c r="T18" s="41"/>
      <c r="U18" s="41"/>
      <c r="V18" s="41"/>
      <c r="W18" s="41"/>
      <c r="X18" s="41"/>
      <c r="Y18" s="41"/>
      <c r="Z18" s="41"/>
      <c r="AA18" s="41"/>
      <c r="AB18" s="41"/>
      <c r="AC18" s="41"/>
      <c r="AD18" s="41"/>
      <c r="AE18" s="112"/>
      <c r="AF18" s="30"/>
      <c r="AG18" s="57"/>
      <c r="AH18" s="30"/>
      <c r="AI18"/>
      <c r="AJ18"/>
      <c r="AK18"/>
      <c r="AL18"/>
      <c r="AM18"/>
      <c r="AN18"/>
      <c r="AR18" s="23"/>
      <c r="AW18" s="22"/>
      <c r="AX18" s="22"/>
    </row>
    <row r="19" spans="1:50" x14ac:dyDescent="0.2">
      <c r="A19" s="35">
        <v>6464.8960739030026</v>
      </c>
      <c r="C19" s="53"/>
      <c r="D19" s="58" t="s">
        <v>11</v>
      </c>
      <c r="E19" s="71">
        <f t="shared" si="13"/>
        <v>6464.8960739030026</v>
      </c>
      <c r="F19" s="54"/>
      <c r="G19" s="63"/>
      <c r="H19" s="41"/>
      <c r="I19" s="41"/>
      <c r="J19" s="41"/>
      <c r="K19" s="41"/>
      <c r="L19" s="41"/>
      <c r="M19" s="41"/>
      <c r="N19" s="41"/>
      <c r="O19" s="41"/>
      <c r="P19" s="41"/>
      <c r="Q19" s="41"/>
      <c r="R19" s="76">
        <v>0.02</v>
      </c>
      <c r="S19" s="42"/>
      <c r="T19" s="41"/>
      <c r="U19" s="41"/>
      <c r="V19" s="41"/>
      <c r="W19" s="41"/>
      <c r="X19" s="41"/>
      <c r="Y19" s="41"/>
      <c r="Z19" s="41"/>
      <c r="AA19" s="41"/>
      <c r="AB19" s="41"/>
      <c r="AC19" s="41"/>
      <c r="AD19" s="41"/>
      <c r="AE19" s="112"/>
      <c r="AF19" s="30">
        <f>SUMPRODUCT(G19:AD19,$G$14:$AD$14,$G$15:$AD$15)*(E19)</f>
        <v>601.23533487297937</v>
      </c>
      <c r="AG19" s="57">
        <f>COUNT(G19:AD19)</f>
        <v>1</v>
      </c>
      <c r="AH19" s="30">
        <f t="shared" ref="AH19:AH27" si="14">AF19/AG19</f>
        <v>601.23533487297937</v>
      </c>
      <c r="AI19"/>
      <c r="AJ19"/>
      <c r="AK19"/>
      <c r="AL19"/>
      <c r="AM19"/>
      <c r="AN19"/>
      <c r="AR19" s="23"/>
      <c r="AW19" s="22"/>
      <c r="AX19" s="22"/>
    </row>
    <row r="20" spans="1:50" x14ac:dyDescent="0.2">
      <c r="A20" s="35">
        <v>5391.6859122401847</v>
      </c>
      <c r="C20" s="53"/>
      <c r="D20" s="58" t="s">
        <v>8</v>
      </c>
      <c r="E20" s="71">
        <f t="shared" si="13"/>
        <v>5391.6859122401847</v>
      </c>
      <c r="F20" s="54"/>
      <c r="G20" s="63">
        <v>0.1</v>
      </c>
      <c r="H20" s="41"/>
      <c r="I20" s="41"/>
      <c r="J20" s="41"/>
      <c r="K20" s="41"/>
      <c r="L20" s="41"/>
      <c r="M20" s="41"/>
      <c r="N20" s="41"/>
      <c r="O20" s="41"/>
      <c r="P20" s="41"/>
      <c r="Q20" s="41"/>
      <c r="R20" s="76"/>
      <c r="S20" s="42"/>
      <c r="T20" s="41"/>
      <c r="U20" s="41"/>
      <c r="V20" s="41"/>
      <c r="W20" s="41"/>
      <c r="X20" s="41"/>
      <c r="Y20" s="41"/>
      <c r="Z20" s="41"/>
      <c r="AA20" s="41"/>
      <c r="AB20" s="41"/>
      <c r="AC20" s="41"/>
      <c r="AD20" s="41"/>
      <c r="AE20" s="112"/>
      <c r="AF20" s="30">
        <f>SUMPRODUCT(G20:AD20,$G$14:$AD$14,$G$15:$AD$15)*(E20)</f>
        <v>2387.7466182777962</v>
      </c>
      <c r="AG20" s="57">
        <f>COUNT(G20:AD20)</f>
        <v>1</v>
      </c>
      <c r="AH20" s="30">
        <f t="shared" si="14"/>
        <v>2387.7466182777962</v>
      </c>
      <c r="AI20"/>
      <c r="AJ20"/>
      <c r="AK20"/>
      <c r="AL20"/>
      <c r="AM20"/>
      <c r="AN20"/>
      <c r="AR20" s="23"/>
      <c r="AW20" s="22"/>
      <c r="AX20" s="22"/>
    </row>
    <row r="21" spans="1:50" x14ac:dyDescent="0.2">
      <c r="A21" s="35">
        <v>5391.6859122401847</v>
      </c>
      <c r="C21" s="53"/>
      <c r="D21" s="58" t="s">
        <v>9</v>
      </c>
      <c r="E21" s="71">
        <f t="shared" si="13"/>
        <v>5391.6859122401847</v>
      </c>
      <c r="F21" s="54"/>
      <c r="G21" s="63">
        <v>0.1</v>
      </c>
      <c r="H21" s="41"/>
      <c r="I21" s="41"/>
      <c r="J21" s="41"/>
      <c r="K21" s="41"/>
      <c r="L21" s="41"/>
      <c r="M21" s="41"/>
      <c r="N21" s="41"/>
      <c r="O21" s="41"/>
      <c r="P21" s="41"/>
      <c r="Q21" s="41"/>
      <c r="R21" s="76"/>
      <c r="S21" s="42"/>
      <c r="T21" s="41"/>
      <c r="U21" s="41"/>
      <c r="V21" s="41"/>
      <c r="W21" s="41"/>
      <c r="X21" s="41"/>
      <c r="Y21" s="41"/>
      <c r="Z21" s="41"/>
      <c r="AA21" s="41"/>
      <c r="AB21" s="41"/>
      <c r="AC21" s="41"/>
      <c r="AD21" s="41"/>
      <c r="AE21" s="112"/>
      <c r="AF21" s="30">
        <f>SUMPRODUCT(G21:AD21,$G$14:$AD$14,$G$15:$AD$15)*(E21)</f>
        <v>2387.7466182777962</v>
      </c>
      <c r="AG21" s="57">
        <f>COUNT(G21:AD21)</f>
        <v>1</v>
      </c>
      <c r="AH21" s="30">
        <f t="shared" si="14"/>
        <v>2387.7466182777962</v>
      </c>
      <c r="AI21"/>
      <c r="AJ21"/>
      <c r="AK21"/>
      <c r="AL21"/>
      <c r="AM21"/>
      <c r="AN21"/>
      <c r="AR21" s="23"/>
      <c r="AW21" s="22"/>
      <c r="AX21" s="22"/>
    </row>
    <row r="22" spans="1:50" x14ac:dyDescent="0.2">
      <c r="A22" s="35">
        <v>3802.7713625866049</v>
      </c>
      <c r="C22" s="53"/>
      <c r="D22" s="58" t="s">
        <v>28</v>
      </c>
      <c r="E22" s="71">
        <f t="shared" si="13"/>
        <v>3802.7713625866049</v>
      </c>
      <c r="F22" s="54"/>
      <c r="G22" s="63">
        <v>0.1</v>
      </c>
      <c r="H22" s="41"/>
      <c r="I22" s="41"/>
      <c r="J22" s="41"/>
      <c r="K22" s="41"/>
      <c r="L22" s="41"/>
      <c r="M22" s="41"/>
      <c r="N22" s="41"/>
      <c r="O22" s="41"/>
      <c r="P22" s="41"/>
      <c r="Q22" s="41"/>
      <c r="R22" s="76"/>
      <c r="S22" s="42"/>
      <c r="T22" s="41"/>
      <c r="U22" s="41"/>
      <c r="V22" s="41"/>
      <c r="W22" s="41"/>
      <c r="X22" s="41"/>
      <c r="Y22" s="41"/>
      <c r="Z22" s="41"/>
      <c r="AA22" s="41"/>
      <c r="AB22" s="41"/>
      <c r="AC22" s="41"/>
      <c r="AD22" s="41"/>
      <c r="AE22" s="112"/>
      <c r="AF22" s="30">
        <f>SUMPRODUCT(G22:AD22,$G$14:$AD$14,$G$15:$AD$15)*(E22)</f>
        <v>1684.0844605740681</v>
      </c>
      <c r="AG22" s="57">
        <f>COUNT(G22:AD22)</f>
        <v>1</v>
      </c>
      <c r="AH22" s="30">
        <f t="shared" si="14"/>
        <v>1684.0844605740681</v>
      </c>
      <c r="AI22"/>
      <c r="AJ22"/>
      <c r="AK22"/>
      <c r="AL22"/>
      <c r="AM22"/>
      <c r="AN22"/>
      <c r="AR22" s="23"/>
      <c r="AW22" s="22"/>
      <c r="AX22" s="22"/>
    </row>
    <row r="23" spans="1:50" x14ac:dyDescent="0.2">
      <c r="A23" s="35">
        <v>3004.1570438799076</v>
      </c>
      <c r="C23" s="53"/>
      <c r="D23" s="58" t="s">
        <v>10</v>
      </c>
      <c r="E23" s="71">
        <f t="shared" si="13"/>
        <v>3004.1570438799076</v>
      </c>
      <c r="F23" s="54"/>
      <c r="G23" s="63"/>
      <c r="H23" s="41"/>
      <c r="I23" s="41"/>
      <c r="J23" s="41"/>
      <c r="K23" s="41"/>
      <c r="L23" s="41"/>
      <c r="M23" s="41"/>
      <c r="N23" s="41"/>
      <c r="O23" s="41"/>
      <c r="P23" s="41"/>
      <c r="Q23" s="41"/>
      <c r="R23" s="76"/>
      <c r="S23" s="42"/>
      <c r="T23" s="41"/>
      <c r="U23" s="41"/>
      <c r="V23" s="41"/>
      <c r="W23" s="41"/>
      <c r="X23" s="41"/>
      <c r="Y23" s="41"/>
      <c r="Z23" s="41"/>
      <c r="AA23" s="41"/>
      <c r="AB23" s="41"/>
      <c r="AC23" s="41"/>
      <c r="AD23" s="41"/>
      <c r="AE23" s="112"/>
      <c r="AF23" s="30"/>
      <c r="AG23" s="57"/>
      <c r="AH23" s="30"/>
      <c r="AI23"/>
      <c r="AJ23"/>
      <c r="AK23"/>
      <c r="AL23"/>
      <c r="AM23"/>
      <c r="AN23"/>
      <c r="AR23" s="23"/>
      <c r="AW23" s="22"/>
      <c r="AX23" s="22"/>
    </row>
    <row r="24" spans="1:50" x14ac:dyDescent="0.2">
      <c r="A24" s="35">
        <v>5057.7367205542723</v>
      </c>
      <c r="C24" s="53"/>
      <c r="D24" s="58" t="s">
        <v>29</v>
      </c>
      <c r="E24" s="71">
        <f t="shared" si="13"/>
        <v>5057.7367205542723</v>
      </c>
      <c r="F24" s="54"/>
      <c r="G24" s="63">
        <v>1</v>
      </c>
      <c r="H24" s="41">
        <v>1</v>
      </c>
      <c r="I24" s="41">
        <v>0.5</v>
      </c>
      <c r="J24" s="41">
        <v>0.25</v>
      </c>
      <c r="K24" s="41">
        <v>0.1</v>
      </c>
      <c r="L24" s="41"/>
      <c r="M24" s="41"/>
      <c r="N24" s="41"/>
      <c r="O24" s="41"/>
      <c r="P24" s="41"/>
      <c r="Q24" s="41"/>
      <c r="R24" s="76"/>
      <c r="S24" s="42"/>
      <c r="T24" s="41"/>
      <c r="U24" s="41"/>
      <c r="V24" s="41"/>
      <c r="W24" s="41"/>
      <c r="X24" s="41"/>
      <c r="Y24" s="41"/>
      <c r="Z24" s="41"/>
      <c r="AA24" s="41"/>
      <c r="AB24" s="41"/>
      <c r="AC24" s="41"/>
      <c r="AD24" s="41"/>
      <c r="AE24" s="112"/>
      <c r="AF24" s="30"/>
      <c r="AG24" s="57"/>
      <c r="AH24" s="30"/>
      <c r="AI24"/>
      <c r="AJ24"/>
      <c r="AK24"/>
      <c r="AL24"/>
      <c r="AM24"/>
      <c r="AN24"/>
      <c r="AR24" s="23"/>
      <c r="AW24" s="22"/>
      <c r="AX24" s="22"/>
    </row>
    <row r="25" spans="1:50" x14ac:dyDescent="0.2">
      <c r="A25" s="35">
        <v>4183.1408775981527</v>
      </c>
      <c r="C25" s="53"/>
      <c r="D25" s="58" t="s">
        <v>30</v>
      </c>
      <c r="E25" s="71">
        <f t="shared" si="13"/>
        <v>4183.1408775981527</v>
      </c>
      <c r="F25" s="54"/>
      <c r="G25" s="63">
        <v>1</v>
      </c>
      <c r="H25" s="41">
        <v>0.75</v>
      </c>
      <c r="I25" s="41">
        <v>0.75</v>
      </c>
      <c r="J25" s="41">
        <v>0.5</v>
      </c>
      <c r="K25" s="41">
        <v>0.5</v>
      </c>
      <c r="L25" s="41">
        <v>0.5</v>
      </c>
      <c r="M25" s="41">
        <v>0.25</v>
      </c>
      <c r="N25" s="41">
        <v>0.25</v>
      </c>
      <c r="O25" s="41">
        <v>0.25</v>
      </c>
      <c r="P25" s="41">
        <v>0.25</v>
      </c>
      <c r="Q25" s="41">
        <v>0.25</v>
      </c>
      <c r="R25" s="76">
        <v>0.4</v>
      </c>
      <c r="S25" s="42">
        <v>0.1</v>
      </c>
      <c r="T25" s="41">
        <v>0.1</v>
      </c>
      <c r="U25" s="41">
        <v>0.1</v>
      </c>
      <c r="V25" s="41">
        <v>0.1</v>
      </c>
      <c r="W25" s="41">
        <v>0.1</v>
      </c>
      <c r="X25" s="41">
        <v>0.1</v>
      </c>
      <c r="Y25" s="41">
        <v>0.1</v>
      </c>
      <c r="Z25" s="41">
        <v>0.1</v>
      </c>
      <c r="AA25" s="41">
        <v>0.1</v>
      </c>
      <c r="AB25" s="41">
        <v>0.05</v>
      </c>
      <c r="AC25" s="41">
        <v>0.05</v>
      </c>
      <c r="AD25" s="41">
        <v>0.05</v>
      </c>
      <c r="AE25" s="112"/>
      <c r="AF25" s="30">
        <f>SUMPRODUCT(G25:AD25,$G$14:$AD$14,$G$15:$AD$15)*(E25)</f>
        <v>124452.62424942265</v>
      </c>
      <c r="AG25" s="57">
        <f>COUNT(G25:AD25)</f>
        <v>24</v>
      </c>
      <c r="AH25" s="30">
        <f t="shared" si="14"/>
        <v>5185.5260103926103</v>
      </c>
      <c r="AI25"/>
      <c r="AJ25"/>
      <c r="AK25"/>
      <c r="AL25"/>
      <c r="AM25"/>
      <c r="AN25"/>
      <c r="AR25" s="23"/>
      <c r="AW25" s="22"/>
      <c r="AX25" s="22"/>
    </row>
    <row r="26" spans="1:50" x14ac:dyDescent="0.2">
      <c r="A26" s="35">
        <v>4800</v>
      </c>
      <c r="C26" s="53"/>
      <c r="D26" s="58" t="s">
        <v>31</v>
      </c>
      <c r="E26" s="71">
        <f t="shared" si="13"/>
        <v>4800</v>
      </c>
      <c r="F26" s="54"/>
      <c r="G26" s="63">
        <v>1</v>
      </c>
      <c r="H26" s="41">
        <v>1</v>
      </c>
      <c r="I26" s="41">
        <v>1</v>
      </c>
      <c r="J26" s="41">
        <v>1</v>
      </c>
      <c r="K26" s="41">
        <v>0.5</v>
      </c>
      <c r="L26" s="41">
        <v>0.5</v>
      </c>
      <c r="M26" s="41">
        <v>0.25</v>
      </c>
      <c r="N26" s="41">
        <v>0.25</v>
      </c>
      <c r="O26" s="41">
        <v>0.25</v>
      </c>
      <c r="P26" s="41">
        <v>0.25</v>
      </c>
      <c r="Q26" s="41">
        <v>0.25</v>
      </c>
      <c r="R26" s="76">
        <v>0.4</v>
      </c>
      <c r="S26" s="42"/>
      <c r="T26" s="41"/>
      <c r="U26" s="41"/>
      <c r="V26" s="41"/>
      <c r="W26" s="41"/>
      <c r="X26" s="41"/>
      <c r="Y26" s="41"/>
      <c r="Z26" s="41"/>
      <c r="AA26" s="41"/>
      <c r="AB26" s="41"/>
      <c r="AC26" s="41"/>
      <c r="AD26" s="41"/>
      <c r="AE26" s="112"/>
      <c r="AF26" s="30">
        <f>SUMPRODUCT(G26:AD26,$G$14:$AD$14,$G$15:$AD$15)*(E26)</f>
        <v>139668.00000000003</v>
      </c>
      <c r="AG26" s="57">
        <f>COUNT(G26:AD26)</f>
        <v>12</v>
      </c>
      <c r="AH26" s="30">
        <f t="shared" si="14"/>
        <v>11639.000000000002</v>
      </c>
      <c r="AI26"/>
      <c r="AJ26"/>
      <c r="AK26"/>
      <c r="AL26"/>
      <c r="AM26"/>
      <c r="AN26"/>
      <c r="AR26" s="23"/>
      <c r="AW26" s="22"/>
      <c r="AX26" s="22"/>
    </row>
    <row r="27" spans="1:50" x14ac:dyDescent="0.2">
      <c r="A27" s="35">
        <v>4800</v>
      </c>
      <c r="C27" s="53"/>
      <c r="D27" s="58" t="s">
        <v>31</v>
      </c>
      <c r="E27" s="71">
        <f t="shared" si="13"/>
        <v>4800</v>
      </c>
      <c r="F27" s="54"/>
      <c r="G27" s="41"/>
      <c r="H27" s="41"/>
      <c r="I27" s="41"/>
      <c r="J27" s="41"/>
      <c r="K27" s="41"/>
      <c r="L27" s="41"/>
      <c r="M27" s="41"/>
      <c r="N27" s="41"/>
      <c r="O27" s="41"/>
      <c r="P27" s="41"/>
      <c r="Q27" s="41"/>
      <c r="R27" s="76"/>
      <c r="S27" s="42"/>
      <c r="T27" s="41"/>
      <c r="U27" s="41"/>
      <c r="V27" s="41"/>
      <c r="W27" s="41"/>
      <c r="X27" s="41"/>
      <c r="Y27" s="41"/>
      <c r="Z27" s="41"/>
      <c r="AA27" s="41"/>
      <c r="AB27" s="41"/>
      <c r="AC27" s="41"/>
      <c r="AD27" s="41"/>
      <c r="AE27" s="112"/>
      <c r="AF27" s="30">
        <f>SUMPRODUCT(G27:AD27,$G$14:$AD$14,$G$15:$AD$15)*(E27)</f>
        <v>0</v>
      </c>
      <c r="AG27" s="57">
        <f>COUNT(G27:AD27)</f>
        <v>0</v>
      </c>
      <c r="AH27" s="30" t="e">
        <f t="shared" si="14"/>
        <v>#DIV/0!</v>
      </c>
      <c r="AI27"/>
      <c r="AJ27"/>
      <c r="AK27"/>
      <c r="AL27"/>
      <c r="AM27"/>
      <c r="AN27"/>
      <c r="AR27" s="23"/>
      <c r="AW27" s="22"/>
      <c r="AX27" s="22"/>
    </row>
    <row r="28" spans="1:50" ht="16" thickBot="1" x14ac:dyDescent="0.25">
      <c r="A28" s="35"/>
      <c r="C28" s="53"/>
      <c r="D28" s="58"/>
      <c r="E28" s="71"/>
      <c r="F28" s="54"/>
      <c r="G28" s="63"/>
      <c r="H28" s="41"/>
      <c r="I28" s="41"/>
      <c r="J28" s="41"/>
      <c r="K28" s="41"/>
      <c r="L28" s="41"/>
      <c r="M28" s="41"/>
      <c r="N28" s="41"/>
      <c r="O28" s="41"/>
      <c r="P28" s="41"/>
      <c r="Q28" s="41"/>
      <c r="R28" s="76"/>
      <c r="S28" s="42"/>
      <c r="T28" s="41"/>
      <c r="U28" s="41"/>
      <c r="V28" s="41"/>
      <c r="W28" s="41"/>
      <c r="X28" s="41"/>
      <c r="Y28" s="41"/>
      <c r="Z28" s="41"/>
      <c r="AA28" s="41"/>
      <c r="AB28" s="41"/>
      <c r="AC28" s="41"/>
      <c r="AD28" s="41"/>
      <c r="AE28" s="112"/>
      <c r="AF28" s="56"/>
      <c r="AG28" s="57"/>
      <c r="AH28" s="56"/>
      <c r="AI28"/>
      <c r="AJ28"/>
      <c r="AK28"/>
      <c r="AL28"/>
      <c r="AM28"/>
      <c r="AN28"/>
      <c r="AR28" s="23"/>
      <c r="AW28" s="22"/>
      <c r="AX28" s="22"/>
    </row>
    <row r="29" spans="1:50" ht="16" thickBot="1" x14ac:dyDescent="0.25">
      <c r="A29" s="36"/>
      <c r="C29" s="327" t="s">
        <v>36</v>
      </c>
      <c r="D29" s="328"/>
      <c r="E29" s="329"/>
      <c r="F29" s="20"/>
      <c r="G29" s="11">
        <f t="shared" ref="G29:AD29" si="15">SUMPRODUCT(($A$17:$A$28),(G17:G28))*(G14)*(G15)</f>
        <v>68640.607060376118</v>
      </c>
      <c r="H29" s="98">
        <f t="shared" si="15"/>
        <v>51980.369515011545</v>
      </c>
      <c r="I29" s="98">
        <f t="shared" si="15"/>
        <v>46350.420653249756</v>
      </c>
      <c r="J29" s="98">
        <f t="shared" si="15"/>
        <v>34954.30550973276</v>
      </c>
      <c r="K29" s="98">
        <f t="shared" si="15"/>
        <v>22131.095348069943</v>
      </c>
      <c r="L29" s="98">
        <f t="shared" si="15"/>
        <v>19249.587594853183</v>
      </c>
      <c r="M29" s="98">
        <f t="shared" si="15"/>
        <v>10442.901270207853</v>
      </c>
      <c r="N29" s="98">
        <f t="shared" si="15"/>
        <v>10442.901270207853</v>
      </c>
      <c r="O29" s="98">
        <f t="shared" si="15"/>
        <v>10106.033487297922</v>
      </c>
      <c r="P29" s="98">
        <f t="shared" si="15"/>
        <v>10442.901270207853</v>
      </c>
      <c r="Q29" s="98">
        <f t="shared" si="15"/>
        <v>10106.033487297922</v>
      </c>
      <c r="R29" s="99">
        <f t="shared" si="15"/>
        <v>17309.877367205543</v>
      </c>
      <c r="S29" s="11">
        <f t="shared" si="15"/>
        <v>1945.1605080831412</v>
      </c>
      <c r="T29" s="9">
        <f t="shared" si="15"/>
        <v>1819.6662817551967</v>
      </c>
      <c r="U29" s="9">
        <f t="shared" si="15"/>
        <v>1945.1605080831412</v>
      </c>
      <c r="V29" s="9">
        <f t="shared" si="15"/>
        <v>1882.4133949191687</v>
      </c>
      <c r="W29" s="9">
        <f t="shared" si="15"/>
        <v>1945.1605080831412</v>
      </c>
      <c r="X29" s="9">
        <f t="shared" si="15"/>
        <v>1882.4133949191687</v>
      </c>
      <c r="Y29" s="9">
        <f t="shared" si="15"/>
        <v>2042.4185334872982</v>
      </c>
      <c r="Z29" s="9">
        <f t="shared" si="15"/>
        <v>2042.4185334872982</v>
      </c>
      <c r="AA29" s="9">
        <f t="shared" si="15"/>
        <v>1976.5340646651273</v>
      </c>
      <c r="AB29" s="9">
        <f t="shared" si="15"/>
        <v>1021.2092667436491</v>
      </c>
      <c r="AC29" s="9">
        <f t="shared" si="15"/>
        <v>988.26703233256364</v>
      </c>
      <c r="AD29" s="10">
        <f t="shared" si="15"/>
        <v>1021.2092667436491</v>
      </c>
      <c r="AE29" s="14"/>
      <c r="AF29" s="19">
        <f>SUM(G29:AD29)</f>
        <v>332669.06512702076</v>
      </c>
      <c r="AG29" s="106">
        <f>COUNT(G29:AD29)</f>
        <v>24</v>
      </c>
      <c r="AH29" s="18">
        <f>AF29/AG29</f>
        <v>13861.211046959199</v>
      </c>
      <c r="AI29"/>
      <c r="AJ29" s="162"/>
      <c r="AL29"/>
      <c r="AM29"/>
      <c r="AN29"/>
      <c r="AR29" s="23"/>
      <c r="AW29" s="22"/>
      <c r="AX29" s="22"/>
    </row>
    <row r="30" spans="1:50" customFormat="1" ht="6" customHeight="1" thickBot="1" x14ac:dyDescent="0.25">
      <c r="AO30" s="22"/>
      <c r="AP30" s="22"/>
      <c r="AQ30" s="22"/>
    </row>
    <row r="31" spans="1:50" x14ac:dyDescent="0.2">
      <c r="A31" s="34"/>
      <c r="C31" s="86" t="s">
        <v>33</v>
      </c>
      <c r="D31" s="87"/>
      <c r="E31" s="88"/>
      <c r="F31" s="89"/>
      <c r="G31" s="90"/>
      <c r="H31" s="91"/>
      <c r="I31" s="91"/>
      <c r="J31" s="91"/>
      <c r="K31" s="91"/>
      <c r="L31" s="91"/>
      <c r="M31" s="91"/>
      <c r="N31" s="91"/>
      <c r="O31" s="91"/>
      <c r="P31" s="91"/>
      <c r="Q31" s="91"/>
      <c r="R31" s="92"/>
      <c r="S31" s="90"/>
      <c r="T31" s="91"/>
      <c r="U31" s="91"/>
      <c r="V31" s="91"/>
      <c r="W31" s="91"/>
      <c r="X31" s="91"/>
      <c r="Y31" s="91"/>
      <c r="Z31" s="91"/>
      <c r="AA31" s="91"/>
      <c r="AB31" s="91"/>
      <c r="AC31" s="91"/>
      <c r="AD31" s="93"/>
      <c r="AE31" s="94"/>
      <c r="AF31" s="95"/>
      <c r="AG31" s="95"/>
      <c r="AH31" s="95"/>
      <c r="AI31"/>
      <c r="AJ31"/>
      <c r="AK31"/>
      <c r="AL31"/>
      <c r="AM31"/>
      <c r="AN31"/>
      <c r="AR31" s="23"/>
      <c r="AW31" s="22"/>
      <c r="AX31" s="22"/>
    </row>
    <row r="32" spans="1:50" x14ac:dyDescent="0.2">
      <c r="A32" s="35">
        <f>$F$2*0.00001</f>
        <v>2500</v>
      </c>
      <c r="C32" s="53"/>
      <c r="D32" s="58" t="s">
        <v>20</v>
      </c>
      <c r="E32" s="62"/>
      <c r="F32" s="167"/>
      <c r="G32" s="77"/>
      <c r="H32" s="78"/>
      <c r="I32" s="78">
        <f>$A$32*0.8</f>
        <v>2000</v>
      </c>
      <c r="J32" s="78">
        <f t="shared" ref="J32:L32" si="16">$A$32*0.8</f>
        <v>2000</v>
      </c>
      <c r="K32" s="78">
        <f t="shared" si="16"/>
        <v>2000</v>
      </c>
      <c r="L32" s="78">
        <f t="shared" si="16"/>
        <v>2000</v>
      </c>
      <c r="M32" s="78">
        <f>$A$32*0.6</f>
        <v>1500</v>
      </c>
      <c r="N32" s="78">
        <f t="shared" ref="N32:O32" si="17">$A$32*0.6</f>
        <v>1500</v>
      </c>
      <c r="O32" s="78">
        <f t="shared" si="17"/>
        <v>1500</v>
      </c>
      <c r="P32" s="78">
        <f>$A$32*0.4</f>
        <v>1000</v>
      </c>
      <c r="Q32" s="78">
        <f>$A$32*0.4</f>
        <v>1000</v>
      </c>
      <c r="R32" s="168">
        <f>$A$32*0.8</f>
        <v>2000</v>
      </c>
      <c r="S32" s="80">
        <f t="shared" ref="S32:AD32" si="18">$A$32*0.4</f>
        <v>1000</v>
      </c>
      <c r="T32" s="78">
        <f t="shared" si="18"/>
        <v>1000</v>
      </c>
      <c r="U32" s="78">
        <f t="shared" si="18"/>
        <v>1000</v>
      </c>
      <c r="V32" s="78">
        <f t="shared" si="18"/>
        <v>1000</v>
      </c>
      <c r="W32" s="78">
        <f t="shared" si="18"/>
        <v>1000</v>
      </c>
      <c r="X32" s="78">
        <f t="shared" si="18"/>
        <v>1000</v>
      </c>
      <c r="Y32" s="78">
        <f t="shared" si="18"/>
        <v>1000</v>
      </c>
      <c r="Z32" s="78">
        <f t="shared" si="18"/>
        <v>1000</v>
      </c>
      <c r="AA32" s="78">
        <f t="shared" si="18"/>
        <v>1000</v>
      </c>
      <c r="AB32" s="78">
        <f t="shared" si="18"/>
        <v>1000</v>
      </c>
      <c r="AC32" s="78">
        <f t="shared" si="18"/>
        <v>1000</v>
      </c>
      <c r="AD32" s="78">
        <f t="shared" si="18"/>
        <v>1000</v>
      </c>
      <c r="AE32" s="113"/>
      <c r="AF32" s="56">
        <f>SUM(G32:AD32)</f>
        <v>28500</v>
      </c>
      <c r="AG32" s="57">
        <f>COUNT(G32:AD32)</f>
        <v>22</v>
      </c>
      <c r="AH32" s="30">
        <f>AF32/AG32</f>
        <v>1295.4545454545455</v>
      </c>
      <c r="AI32"/>
      <c r="AJ32"/>
      <c r="AK32"/>
      <c r="AL32"/>
      <c r="AM32"/>
      <c r="AN32"/>
      <c r="AO32"/>
      <c r="AP32"/>
      <c r="AQ32"/>
      <c r="AR32"/>
      <c r="AS32"/>
      <c r="AW32" s="22"/>
      <c r="AX32" s="22"/>
    </row>
    <row r="33" spans="1:50" x14ac:dyDescent="0.2">
      <c r="A33" s="35">
        <f>$F$2*0.00001</f>
        <v>2500</v>
      </c>
      <c r="C33" s="53"/>
      <c r="D33" s="58" t="s">
        <v>21</v>
      </c>
      <c r="E33" s="62"/>
      <c r="F33" s="54"/>
      <c r="G33" s="77"/>
      <c r="H33" s="78">
        <f>$A$33*2</f>
        <v>5000</v>
      </c>
      <c r="I33" s="78">
        <f t="shared" ref="I33:K33" si="19">$A$33*2</f>
        <v>5000</v>
      </c>
      <c r="J33" s="78">
        <f t="shared" si="19"/>
        <v>5000</v>
      </c>
      <c r="K33" s="78">
        <f t="shared" si="19"/>
        <v>5000</v>
      </c>
      <c r="L33" s="78">
        <f>$A$33*4</f>
        <v>10000</v>
      </c>
      <c r="M33" s="78">
        <f>$A$33*4</f>
        <v>10000</v>
      </c>
      <c r="N33" s="78">
        <f t="shared" ref="N33" si="20">$A$33*2</f>
        <v>5000</v>
      </c>
      <c r="O33" s="78">
        <f>$A$33*0.8</f>
        <v>2000</v>
      </c>
      <c r="P33" s="78">
        <f>$A$33*0.8</f>
        <v>2000</v>
      </c>
      <c r="Q33" s="78">
        <f>$A$33*0.4</f>
        <v>1000</v>
      </c>
      <c r="R33" s="79">
        <f>$A$33*2</f>
        <v>5000</v>
      </c>
      <c r="S33" s="80">
        <f t="shared" ref="S33:AD33" si="21">$A$33*0.4</f>
        <v>1000</v>
      </c>
      <c r="T33" s="78">
        <f t="shared" si="21"/>
        <v>1000</v>
      </c>
      <c r="U33" s="78">
        <f t="shared" si="21"/>
        <v>1000</v>
      </c>
      <c r="V33" s="78">
        <f t="shared" si="21"/>
        <v>1000</v>
      </c>
      <c r="W33" s="78">
        <f t="shared" si="21"/>
        <v>1000</v>
      </c>
      <c r="X33" s="78">
        <f t="shared" si="21"/>
        <v>1000</v>
      </c>
      <c r="Y33" s="78">
        <f t="shared" si="21"/>
        <v>1000</v>
      </c>
      <c r="Z33" s="78">
        <f t="shared" si="21"/>
        <v>1000</v>
      </c>
      <c r="AA33" s="78">
        <f t="shared" si="21"/>
        <v>1000</v>
      </c>
      <c r="AB33" s="78">
        <f t="shared" si="21"/>
        <v>1000</v>
      </c>
      <c r="AC33" s="78">
        <f t="shared" si="21"/>
        <v>1000</v>
      </c>
      <c r="AD33" s="78">
        <f t="shared" si="21"/>
        <v>1000</v>
      </c>
      <c r="AE33" s="113"/>
      <c r="AF33" s="56">
        <f>SUM(G33:AD33)</f>
        <v>67000</v>
      </c>
      <c r="AG33" s="57">
        <f>COUNT(G33:AD33)</f>
        <v>23</v>
      </c>
      <c r="AH33" s="30">
        <f>AF33/AG33</f>
        <v>2913.0434782608695</v>
      </c>
      <c r="AI33"/>
      <c r="AJ33"/>
      <c r="AK33"/>
      <c r="AL33"/>
      <c r="AM33"/>
      <c r="AN33"/>
      <c r="AO33"/>
      <c r="AP33"/>
      <c r="AQ33"/>
      <c r="AR33"/>
      <c r="AS33"/>
      <c r="AW33" s="22"/>
      <c r="AX33" s="22"/>
    </row>
    <row r="34" spans="1:50" x14ac:dyDescent="0.2">
      <c r="A34" s="35">
        <f>$F$2*0.00001</f>
        <v>2500</v>
      </c>
      <c r="C34" s="53"/>
      <c r="D34" s="58" t="s">
        <v>22</v>
      </c>
      <c r="E34" s="62"/>
      <c r="F34" s="54"/>
      <c r="G34" s="78">
        <f>$A$34*0.4</f>
        <v>1000</v>
      </c>
      <c r="H34" s="78">
        <f t="shared" ref="H34:I34" si="22">$A$34*0.4</f>
        <v>1000</v>
      </c>
      <c r="I34" s="78">
        <f t="shared" si="22"/>
        <v>1000</v>
      </c>
      <c r="J34" s="78">
        <f>$A$34*0.2</f>
        <v>500</v>
      </c>
      <c r="K34" s="78">
        <f>$A$34*0.2</f>
        <v>500</v>
      </c>
      <c r="L34" s="78"/>
      <c r="M34" s="78"/>
      <c r="N34" s="78"/>
      <c r="O34" s="78"/>
      <c r="P34" s="78"/>
      <c r="Q34" s="78"/>
      <c r="R34" s="79"/>
      <c r="S34" s="80"/>
      <c r="T34" s="78"/>
      <c r="U34" s="78"/>
      <c r="V34" s="78"/>
      <c r="W34" s="78"/>
      <c r="X34" s="78"/>
      <c r="Y34" s="78"/>
      <c r="Z34" s="78"/>
      <c r="AA34" s="78"/>
      <c r="AB34" s="78"/>
      <c r="AC34" s="78"/>
      <c r="AD34" s="78"/>
      <c r="AE34" s="113"/>
      <c r="AF34" s="56">
        <f>SUM(G34:AD34)</f>
        <v>4000</v>
      </c>
      <c r="AG34" s="57">
        <f>COUNT(G34:AD34)</f>
        <v>5</v>
      </c>
      <c r="AH34" s="30">
        <f>AF34/AG34</f>
        <v>800</v>
      </c>
      <c r="AI34"/>
      <c r="AJ34"/>
      <c r="AK34"/>
      <c r="AL34"/>
      <c r="AM34"/>
      <c r="AN34"/>
      <c r="AO34"/>
      <c r="AP34"/>
      <c r="AQ34"/>
      <c r="AR34"/>
      <c r="AS34"/>
      <c r="AW34" s="22"/>
      <c r="AX34" s="22"/>
    </row>
    <row r="35" spans="1:50" x14ac:dyDescent="0.2">
      <c r="A35" s="35">
        <f>$F$2*0.00001</f>
        <v>2500</v>
      </c>
      <c r="C35" s="53"/>
      <c r="D35" s="58" t="s">
        <v>19</v>
      </c>
      <c r="E35" s="62"/>
      <c r="F35" s="54"/>
      <c r="G35" s="77"/>
      <c r="H35" s="78"/>
      <c r="I35" s="78">
        <f>$A$35*0.4</f>
        <v>1000</v>
      </c>
      <c r="J35" s="78">
        <f>$A$35*0.4</f>
        <v>1000</v>
      </c>
      <c r="K35" s="78"/>
      <c r="L35" s="78"/>
      <c r="M35" s="78"/>
      <c r="N35" s="78"/>
      <c r="O35" s="78"/>
      <c r="P35" s="78">
        <f>$A$35</f>
        <v>2500</v>
      </c>
      <c r="Q35" s="78">
        <f>$A$35</f>
        <v>2500</v>
      </c>
      <c r="R35" s="79"/>
      <c r="S35" s="80"/>
      <c r="T35" s="78"/>
      <c r="U35" s="78"/>
      <c r="V35" s="78"/>
      <c r="W35" s="78"/>
      <c r="X35" s="78"/>
      <c r="Y35" s="78"/>
      <c r="Z35" s="78"/>
      <c r="AA35" s="78"/>
      <c r="AB35" s="78"/>
      <c r="AC35" s="78"/>
      <c r="AD35" s="78"/>
      <c r="AE35" s="113"/>
      <c r="AF35" s="56">
        <f>SUM(G35:AD35)</f>
        <v>7000</v>
      </c>
      <c r="AG35" s="57">
        <f>COUNT(G35:AD35)</f>
        <v>4</v>
      </c>
      <c r="AH35" s="30">
        <f>AF35/AG35</f>
        <v>1750</v>
      </c>
      <c r="AI35"/>
      <c r="AJ35"/>
      <c r="AK35"/>
      <c r="AL35"/>
      <c r="AM35"/>
      <c r="AN35"/>
      <c r="AO35"/>
      <c r="AP35"/>
      <c r="AQ35"/>
      <c r="AR35"/>
      <c r="AS35"/>
      <c r="AW35" s="22"/>
      <c r="AX35" s="22"/>
    </row>
    <row r="36" spans="1:50" ht="16" thickBot="1" x14ac:dyDescent="0.25">
      <c r="A36" s="35"/>
      <c r="C36" s="53"/>
      <c r="D36" s="58"/>
      <c r="E36" s="71"/>
      <c r="F36" s="54"/>
      <c r="G36" s="77"/>
      <c r="H36" s="78"/>
      <c r="I36" s="78"/>
      <c r="J36" s="78"/>
      <c r="K36" s="78"/>
      <c r="L36" s="78"/>
      <c r="M36" s="78"/>
      <c r="N36" s="78"/>
      <c r="O36" s="78"/>
      <c r="P36" s="78"/>
      <c r="Q36" s="78"/>
      <c r="R36" s="79"/>
      <c r="S36" s="80"/>
      <c r="T36" s="78"/>
      <c r="U36" s="78"/>
      <c r="V36" s="78"/>
      <c r="W36" s="78"/>
      <c r="X36" s="78"/>
      <c r="Y36" s="78"/>
      <c r="Z36" s="78"/>
      <c r="AA36" s="78"/>
      <c r="AB36" s="78"/>
      <c r="AC36" s="78"/>
      <c r="AD36" s="78"/>
      <c r="AE36" s="113"/>
      <c r="AF36" s="56"/>
      <c r="AG36" s="57"/>
      <c r="AH36" s="56"/>
      <c r="AI36"/>
      <c r="AJ36"/>
      <c r="AK36"/>
      <c r="AL36"/>
      <c r="AM36"/>
      <c r="AN36"/>
      <c r="AO36"/>
      <c r="AP36"/>
      <c r="AQ36"/>
      <c r="AR36"/>
      <c r="AS36"/>
      <c r="AW36" s="22"/>
      <c r="AX36" s="22"/>
    </row>
    <row r="37" spans="1:50" ht="16" thickBot="1" x14ac:dyDescent="0.25">
      <c r="A37" s="36"/>
      <c r="C37" s="327" t="s">
        <v>38</v>
      </c>
      <c r="D37" s="328"/>
      <c r="E37" s="329"/>
      <c r="F37" s="20"/>
      <c r="G37" s="11">
        <f t="shared" ref="G37:AD37" si="23">SUM(G32:G35)</f>
        <v>1000</v>
      </c>
      <c r="H37" s="9">
        <f t="shared" si="23"/>
        <v>6000</v>
      </c>
      <c r="I37" s="9">
        <f t="shared" si="23"/>
        <v>9000</v>
      </c>
      <c r="J37" s="9">
        <f t="shared" si="23"/>
        <v>8500</v>
      </c>
      <c r="K37" s="9">
        <f t="shared" si="23"/>
        <v>7500</v>
      </c>
      <c r="L37" s="9">
        <f t="shared" si="23"/>
        <v>12000</v>
      </c>
      <c r="M37" s="9">
        <f t="shared" si="23"/>
        <v>11500</v>
      </c>
      <c r="N37" s="9">
        <f t="shared" si="23"/>
        <v>6500</v>
      </c>
      <c r="O37" s="9">
        <f t="shared" si="23"/>
        <v>3500</v>
      </c>
      <c r="P37" s="9">
        <f t="shared" si="23"/>
        <v>5500</v>
      </c>
      <c r="Q37" s="9">
        <f t="shared" si="23"/>
        <v>4500</v>
      </c>
      <c r="R37" s="10">
        <f t="shared" si="23"/>
        <v>7000</v>
      </c>
      <c r="S37" s="11">
        <f t="shared" si="23"/>
        <v>2000</v>
      </c>
      <c r="T37" s="9">
        <f t="shared" si="23"/>
        <v>2000</v>
      </c>
      <c r="U37" s="9">
        <f t="shared" si="23"/>
        <v>2000</v>
      </c>
      <c r="V37" s="9">
        <f t="shared" si="23"/>
        <v>2000</v>
      </c>
      <c r="W37" s="9">
        <f t="shared" si="23"/>
        <v>2000</v>
      </c>
      <c r="X37" s="9">
        <f t="shared" si="23"/>
        <v>2000</v>
      </c>
      <c r="Y37" s="9">
        <f t="shared" si="23"/>
        <v>2000</v>
      </c>
      <c r="Z37" s="9">
        <f t="shared" si="23"/>
        <v>2000</v>
      </c>
      <c r="AA37" s="9">
        <f t="shared" si="23"/>
        <v>2000</v>
      </c>
      <c r="AB37" s="9">
        <f t="shared" si="23"/>
        <v>2000</v>
      </c>
      <c r="AC37" s="9">
        <f t="shared" si="23"/>
        <v>2000</v>
      </c>
      <c r="AD37" s="10">
        <f t="shared" si="23"/>
        <v>2000</v>
      </c>
      <c r="AE37" s="14"/>
      <c r="AF37" s="19">
        <f>SUM(G37:AD37)</f>
        <v>106500</v>
      </c>
      <c r="AG37" s="106">
        <f>COUNT(G37:AD37)</f>
        <v>24</v>
      </c>
      <c r="AH37" s="18">
        <f>AF37/AG37</f>
        <v>4437.5</v>
      </c>
      <c r="AI37"/>
      <c r="AJ37" s="162"/>
      <c r="AL37"/>
      <c r="AM37"/>
      <c r="AN37"/>
      <c r="AO37"/>
      <c r="AP37"/>
      <c r="AQ37"/>
      <c r="AR37"/>
      <c r="AS37"/>
      <c r="AW37" s="22"/>
      <c r="AX37" s="22"/>
    </row>
    <row r="38" spans="1:50" customFormat="1" ht="6" customHeight="1" thickBot="1" x14ac:dyDescent="0.25"/>
    <row r="39" spans="1:50" x14ac:dyDescent="0.2">
      <c r="A39" s="34"/>
      <c r="C39" s="86" t="s">
        <v>34</v>
      </c>
      <c r="D39" s="87"/>
      <c r="E39" s="96" t="s">
        <v>13</v>
      </c>
      <c r="F39" s="97" t="s">
        <v>35</v>
      </c>
      <c r="G39" s="90"/>
      <c r="H39" s="91"/>
      <c r="I39" s="91"/>
      <c r="J39" s="91"/>
      <c r="K39" s="91"/>
      <c r="L39" s="91"/>
      <c r="M39" s="91"/>
      <c r="N39" s="91"/>
      <c r="O39" s="91"/>
      <c r="P39" s="91"/>
      <c r="Q39" s="91"/>
      <c r="R39" s="92"/>
      <c r="S39" s="90"/>
      <c r="T39" s="91"/>
      <c r="U39" s="91"/>
      <c r="V39" s="91"/>
      <c r="W39" s="91"/>
      <c r="X39" s="91"/>
      <c r="Y39" s="91"/>
      <c r="Z39" s="91"/>
      <c r="AA39" s="91"/>
      <c r="AB39" s="91"/>
      <c r="AC39" s="91"/>
      <c r="AD39" s="93"/>
      <c r="AE39" s="94"/>
      <c r="AF39" s="95"/>
      <c r="AG39" s="95"/>
      <c r="AH39" s="95"/>
      <c r="AI39"/>
      <c r="AJ39"/>
      <c r="AK39"/>
      <c r="AL39"/>
      <c r="AM39"/>
      <c r="AN39"/>
      <c r="AO39"/>
      <c r="AP39"/>
      <c r="AQ39"/>
      <c r="AR39"/>
      <c r="AS39"/>
      <c r="AW39" s="22"/>
      <c r="AX39" s="22"/>
    </row>
    <row r="40" spans="1:50" x14ac:dyDescent="0.2">
      <c r="A40" s="35">
        <f>E40*F40</f>
        <v>2000</v>
      </c>
      <c r="C40" s="39"/>
      <c r="D40" s="58" t="s">
        <v>34</v>
      </c>
      <c r="E40" s="85">
        <v>4</v>
      </c>
      <c r="F40" s="40">
        <v>500</v>
      </c>
      <c r="G40" s="64">
        <v>1</v>
      </c>
      <c r="H40" s="41">
        <v>1</v>
      </c>
      <c r="I40" s="41">
        <v>1</v>
      </c>
      <c r="J40" s="41">
        <v>1</v>
      </c>
      <c r="K40" s="41">
        <v>1</v>
      </c>
      <c r="L40" s="41">
        <v>1</v>
      </c>
      <c r="M40" s="41">
        <v>1</v>
      </c>
      <c r="N40" s="41">
        <v>1</v>
      </c>
      <c r="O40" s="41">
        <v>1</v>
      </c>
      <c r="P40" s="41">
        <v>1</v>
      </c>
      <c r="Q40" s="41">
        <v>1</v>
      </c>
      <c r="R40" s="41">
        <v>1</v>
      </c>
      <c r="S40" s="67">
        <v>1</v>
      </c>
      <c r="T40" s="65">
        <v>1</v>
      </c>
      <c r="U40" s="65">
        <v>1</v>
      </c>
      <c r="V40" s="65">
        <v>1</v>
      </c>
      <c r="W40" s="65">
        <v>1</v>
      </c>
      <c r="X40" s="65">
        <v>1</v>
      </c>
      <c r="Y40" s="65">
        <v>1</v>
      </c>
      <c r="Z40" s="65">
        <v>1</v>
      </c>
      <c r="AA40" s="65">
        <v>1</v>
      </c>
      <c r="AB40" s="65">
        <v>1</v>
      </c>
      <c r="AC40" s="65">
        <v>1</v>
      </c>
      <c r="AD40" s="65">
        <v>1</v>
      </c>
      <c r="AE40" s="114"/>
      <c r="AF40" s="30">
        <f>SUMPRODUCT(G40:AD40)*(A40)</f>
        <v>48000</v>
      </c>
      <c r="AG40" s="57">
        <f>COUNT(G40:AD40)</f>
        <v>24</v>
      </c>
      <c r="AH40" s="30">
        <f>AF40/AG40</f>
        <v>2000</v>
      </c>
      <c r="AI40"/>
      <c r="AJ40"/>
      <c r="AK40"/>
      <c r="AL40"/>
      <c r="AM40"/>
      <c r="AN40"/>
      <c r="AO40"/>
      <c r="AP40"/>
      <c r="AQ40"/>
      <c r="AR40"/>
      <c r="AS40"/>
      <c r="AW40" s="22"/>
      <c r="AX40" s="22"/>
    </row>
    <row r="41" spans="1:50" ht="16" thickBot="1" x14ac:dyDescent="0.25">
      <c r="A41" s="35"/>
      <c r="C41" s="39"/>
      <c r="D41" s="58"/>
      <c r="E41" s="58"/>
      <c r="F41" s="40"/>
      <c r="G41" s="64"/>
      <c r="H41" s="41"/>
      <c r="I41" s="41"/>
      <c r="J41" s="41"/>
      <c r="K41" s="41"/>
      <c r="L41" s="41"/>
      <c r="M41" s="41"/>
      <c r="N41" s="41"/>
      <c r="O41" s="41"/>
      <c r="P41" s="65"/>
      <c r="Q41" s="65"/>
      <c r="R41" s="66"/>
      <c r="S41" s="67"/>
      <c r="T41" s="65"/>
      <c r="U41" s="65"/>
      <c r="V41" s="65"/>
      <c r="W41" s="65"/>
      <c r="X41" s="65"/>
      <c r="Y41" s="65"/>
      <c r="Z41" s="65"/>
      <c r="AA41" s="55"/>
      <c r="AB41" s="55"/>
      <c r="AC41" s="55"/>
      <c r="AD41" s="51"/>
      <c r="AE41" s="52"/>
      <c r="AF41" s="30"/>
      <c r="AG41" s="31"/>
      <c r="AH41" s="30"/>
      <c r="AI41"/>
      <c r="AJ41"/>
      <c r="AK41"/>
      <c r="AL41"/>
      <c r="AM41"/>
      <c r="AN41"/>
      <c r="AO41"/>
      <c r="AP41"/>
      <c r="AQ41"/>
      <c r="AR41"/>
      <c r="AS41"/>
      <c r="AW41" s="22"/>
      <c r="AX41" s="22"/>
    </row>
    <row r="42" spans="1:50" ht="16" thickBot="1" x14ac:dyDescent="0.25">
      <c r="A42" s="36"/>
      <c r="C42" s="327" t="s">
        <v>39</v>
      </c>
      <c r="D42" s="328"/>
      <c r="E42" s="329"/>
      <c r="F42" s="20"/>
      <c r="G42" s="11">
        <f t="shared" ref="G42:AD42" si="24">SUMPRODUCT(($A$40:$A$41),(G40:G41))</f>
        <v>2000</v>
      </c>
      <c r="H42" s="9">
        <f t="shared" si="24"/>
        <v>2000</v>
      </c>
      <c r="I42" s="9">
        <f t="shared" si="24"/>
        <v>2000</v>
      </c>
      <c r="J42" s="9">
        <f t="shared" si="24"/>
        <v>2000</v>
      </c>
      <c r="K42" s="9">
        <f t="shared" si="24"/>
        <v>2000</v>
      </c>
      <c r="L42" s="9">
        <f t="shared" si="24"/>
        <v>2000</v>
      </c>
      <c r="M42" s="9">
        <f t="shared" si="24"/>
        <v>2000</v>
      </c>
      <c r="N42" s="9">
        <f t="shared" si="24"/>
        <v>2000</v>
      </c>
      <c r="O42" s="9">
        <f t="shared" si="24"/>
        <v>2000</v>
      </c>
      <c r="P42" s="9">
        <f t="shared" si="24"/>
        <v>2000</v>
      </c>
      <c r="Q42" s="9">
        <f t="shared" si="24"/>
        <v>2000</v>
      </c>
      <c r="R42" s="10">
        <f t="shared" si="24"/>
        <v>2000</v>
      </c>
      <c r="S42" s="11">
        <f t="shared" si="24"/>
        <v>2000</v>
      </c>
      <c r="T42" s="9">
        <f t="shared" si="24"/>
        <v>2000</v>
      </c>
      <c r="U42" s="9">
        <f t="shared" si="24"/>
        <v>2000</v>
      </c>
      <c r="V42" s="9">
        <f t="shared" si="24"/>
        <v>2000</v>
      </c>
      <c r="W42" s="9">
        <f t="shared" si="24"/>
        <v>2000</v>
      </c>
      <c r="X42" s="9">
        <f t="shared" si="24"/>
        <v>2000</v>
      </c>
      <c r="Y42" s="9">
        <f t="shared" si="24"/>
        <v>2000</v>
      </c>
      <c r="Z42" s="9">
        <f t="shared" si="24"/>
        <v>2000</v>
      </c>
      <c r="AA42" s="9">
        <f t="shared" si="24"/>
        <v>2000</v>
      </c>
      <c r="AB42" s="9">
        <f t="shared" si="24"/>
        <v>2000</v>
      </c>
      <c r="AC42" s="9">
        <f t="shared" si="24"/>
        <v>2000</v>
      </c>
      <c r="AD42" s="10">
        <f t="shared" si="24"/>
        <v>2000</v>
      </c>
      <c r="AE42" s="14"/>
      <c r="AF42" s="19">
        <f>SUM(G42:AD42)</f>
        <v>48000</v>
      </c>
      <c r="AG42" s="106">
        <f>COUNT(G42:AD42)</f>
        <v>24</v>
      </c>
      <c r="AH42" s="18">
        <f>AF42/AG42</f>
        <v>2000</v>
      </c>
      <c r="AI42"/>
      <c r="AJ42" s="162"/>
      <c r="AL42"/>
      <c r="AM42"/>
      <c r="AN42"/>
      <c r="AO42"/>
      <c r="AP42"/>
      <c r="AQ42"/>
      <c r="AR42"/>
      <c r="AS42"/>
      <c r="AW42" s="22"/>
      <c r="AX42" s="22"/>
    </row>
    <row r="43" spans="1:50" ht="6" customHeight="1" thickBot="1" x14ac:dyDescent="0.25">
      <c r="A43" s="43"/>
      <c r="C43" s="44"/>
      <c r="D43" s="44"/>
      <c r="E43" s="44"/>
      <c r="F43" s="45"/>
      <c r="G43" s="46"/>
      <c r="H43"/>
      <c r="I43"/>
      <c r="J43"/>
      <c r="K43"/>
      <c r="L43"/>
      <c r="M43"/>
      <c r="N43"/>
      <c r="O43"/>
      <c r="P43" s="46"/>
      <c r="Q43" s="46"/>
      <c r="R43" s="46"/>
      <c r="S43" s="46"/>
      <c r="T43" s="46"/>
      <c r="U43" s="46"/>
      <c r="V43" s="46"/>
      <c r="W43" s="46"/>
      <c r="X43" s="46"/>
      <c r="Y43" s="46"/>
      <c r="Z43"/>
      <c r="AA43"/>
      <c r="AB43"/>
      <c r="AC43"/>
      <c r="AD43"/>
      <c r="AE43"/>
      <c r="AF43" s="47"/>
      <c r="AG43" s="48"/>
      <c r="AH43" s="48"/>
      <c r="AI43"/>
      <c r="AJ43"/>
      <c r="AK43"/>
      <c r="AL43"/>
      <c r="AM43"/>
      <c r="AN43"/>
      <c r="AO43"/>
      <c r="AP43"/>
      <c r="AQ43"/>
      <c r="AR43"/>
      <c r="AS43"/>
      <c r="AW43" s="22"/>
      <c r="AX43" s="22"/>
    </row>
    <row r="44" spans="1:50" ht="16" thickBot="1" x14ac:dyDescent="0.25">
      <c r="A44" s="36"/>
      <c r="C44" s="319"/>
      <c r="D44" s="320"/>
      <c r="E44" s="321"/>
      <c r="F44" s="100"/>
      <c r="G44" s="102">
        <f t="shared" ref="G44:AD44" si="25">SUM(G29+G37+G42)</f>
        <v>71640.607060376118</v>
      </c>
      <c r="H44" s="101">
        <f t="shared" si="25"/>
        <v>59980.369515011545</v>
      </c>
      <c r="I44" s="101">
        <f t="shared" si="25"/>
        <v>57350.420653249756</v>
      </c>
      <c r="J44" s="101">
        <f t="shared" si="25"/>
        <v>45454.30550973276</v>
      </c>
      <c r="K44" s="101">
        <f t="shared" si="25"/>
        <v>31631.095348069943</v>
      </c>
      <c r="L44" s="101">
        <f t="shared" si="25"/>
        <v>33249.587594853183</v>
      </c>
      <c r="M44" s="101">
        <f t="shared" si="25"/>
        <v>23942.901270207854</v>
      </c>
      <c r="N44" s="101">
        <f t="shared" si="25"/>
        <v>18942.901270207854</v>
      </c>
      <c r="O44" s="101">
        <f t="shared" si="25"/>
        <v>15606.033487297922</v>
      </c>
      <c r="P44" s="101">
        <f t="shared" si="25"/>
        <v>17942.901270207854</v>
      </c>
      <c r="Q44" s="101">
        <f t="shared" si="25"/>
        <v>16606.033487297922</v>
      </c>
      <c r="R44" s="103">
        <f t="shared" si="25"/>
        <v>26309.877367205543</v>
      </c>
      <c r="S44" s="102">
        <f t="shared" si="25"/>
        <v>5945.1605080831414</v>
      </c>
      <c r="T44" s="101">
        <f t="shared" si="25"/>
        <v>5819.6662817551969</v>
      </c>
      <c r="U44" s="101">
        <f t="shared" si="25"/>
        <v>5945.1605080831414</v>
      </c>
      <c r="V44" s="101">
        <f t="shared" si="25"/>
        <v>5882.4133949191691</v>
      </c>
      <c r="W44" s="101">
        <f t="shared" si="25"/>
        <v>5945.1605080831414</v>
      </c>
      <c r="X44" s="101">
        <f t="shared" si="25"/>
        <v>5882.4133949191691</v>
      </c>
      <c r="Y44" s="101">
        <f t="shared" si="25"/>
        <v>6042.4185334872982</v>
      </c>
      <c r="Z44" s="101">
        <f t="shared" si="25"/>
        <v>6042.4185334872982</v>
      </c>
      <c r="AA44" s="101">
        <f t="shared" si="25"/>
        <v>5976.5340646651275</v>
      </c>
      <c r="AB44" s="101">
        <f t="shared" si="25"/>
        <v>5021.2092667436491</v>
      </c>
      <c r="AC44" s="101">
        <f t="shared" si="25"/>
        <v>4988.2670323325638</v>
      </c>
      <c r="AD44" s="103">
        <f t="shared" si="25"/>
        <v>5021.2092667436491</v>
      </c>
      <c r="AE44" s="104"/>
      <c r="AF44" s="154">
        <f>SUM(G44:AD44)</f>
        <v>487169.06512702076</v>
      </c>
      <c r="AG44" s="105">
        <f>COUNT(G44:AD44)</f>
        <v>24</v>
      </c>
      <c r="AH44" s="154">
        <f>AF44/AG44</f>
        <v>20298.711046959197</v>
      </c>
      <c r="AI44"/>
      <c r="AJ44"/>
      <c r="AK44"/>
      <c r="AL44"/>
      <c r="AM44"/>
      <c r="AN44"/>
      <c r="AO44"/>
      <c r="AP44"/>
      <c r="AQ44"/>
      <c r="AR44"/>
      <c r="AS44"/>
      <c r="AW44" s="22"/>
      <c r="AX44" s="22"/>
    </row>
    <row r="45" spans="1:50" customFormat="1" x14ac:dyDescent="0.2">
      <c r="AF45" s="153">
        <f>SUM(AF29+AF37+AF42)</f>
        <v>487169.06512702076</v>
      </c>
      <c r="AG45" s="22" t="str">
        <f>IF(AF45=AF44,"OK","ERROR")</f>
        <v>OK</v>
      </c>
    </row>
    <row r="46" spans="1:50" customFormat="1" x14ac:dyDescent="0.2">
      <c r="AF46" s="163"/>
    </row>
    <row r="47" spans="1:50" x14ac:dyDescent="0.2">
      <c r="C47"/>
      <c r="D47"/>
      <c r="E47"/>
      <c r="F47"/>
      <c r="G47"/>
      <c r="H47"/>
      <c r="I47"/>
      <c r="AK47"/>
      <c r="AL47"/>
      <c r="AM47"/>
      <c r="AN47"/>
      <c r="AO47"/>
      <c r="AP47"/>
      <c r="AQ47"/>
      <c r="AR47"/>
      <c r="AS47"/>
      <c r="AT47"/>
    </row>
    <row r="48" spans="1:50" ht="16" x14ac:dyDescent="0.2">
      <c r="C48" s="215" t="s">
        <v>26</v>
      </c>
      <c r="D48" s="38"/>
      <c r="E48" s="68" t="s">
        <v>67</v>
      </c>
      <c r="F48" s="164">
        <v>500</v>
      </c>
      <c r="G48"/>
      <c r="H48"/>
      <c r="I48"/>
    </row>
    <row r="49" spans="1:50" ht="16" x14ac:dyDescent="0.2">
      <c r="C49" s="216" t="s">
        <v>27</v>
      </c>
      <c r="D49" s="25"/>
      <c r="E49" s="68" t="s">
        <v>59</v>
      </c>
      <c r="F49" s="165">
        <v>250000000</v>
      </c>
      <c r="G49"/>
      <c r="H49"/>
      <c r="I49"/>
    </row>
    <row r="50" spans="1:50" ht="26" x14ac:dyDescent="0.2">
      <c r="C50" s="287" t="s">
        <v>41</v>
      </c>
      <c r="D50" s="287"/>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row>
    <row r="51" spans="1:50" x14ac:dyDescent="0.2">
      <c r="C51" s="322" t="s">
        <v>15</v>
      </c>
      <c r="D51" s="323"/>
      <c r="E51" s="323"/>
      <c r="F51" s="323"/>
      <c r="G51" s="314" t="s">
        <v>17</v>
      </c>
      <c r="H51" s="315"/>
      <c r="I51" s="315"/>
      <c r="J51" s="315"/>
      <c r="K51" s="315"/>
      <c r="L51" s="315"/>
      <c r="M51" s="315"/>
      <c r="N51" s="315"/>
      <c r="O51" s="315"/>
      <c r="P51" s="315"/>
      <c r="Q51" s="315"/>
      <c r="R51" s="316"/>
      <c r="S51" s="126"/>
      <c r="T51" s="126"/>
      <c r="U51" s="126"/>
      <c r="V51" s="126"/>
      <c r="W51" s="126"/>
      <c r="X51" s="126"/>
      <c r="Y51" s="126"/>
      <c r="Z51" s="126"/>
      <c r="AA51" s="127"/>
      <c r="AB51" s="127"/>
      <c r="AC51" s="127"/>
      <c r="AD51" s="127"/>
      <c r="AE51" s="127"/>
      <c r="AF51" s="127"/>
      <c r="AG51" s="127"/>
      <c r="AH51" s="127"/>
      <c r="AI51" s="127"/>
      <c r="AJ51" s="127"/>
      <c r="AK51" s="127"/>
      <c r="AL51" s="127"/>
      <c r="AM51" s="127"/>
      <c r="AN51" s="128"/>
      <c r="AO51" s="128"/>
    </row>
    <row r="52" spans="1:50" x14ac:dyDescent="0.2">
      <c r="C52" s="317" t="s">
        <v>16</v>
      </c>
      <c r="D52" s="318"/>
      <c r="E52" s="318"/>
      <c r="F52" s="318"/>
      <c r="G52" s="305" t="s">
        <v>18</v>
      </c>
      <c r="H52" s="306"/>
      <c r="I52" s="306"/>
      <c r="J52" s="306"/>
      <c r="K52" s="306"/>
      <c r="L52" s="306"/>
      <c r="M52" s="306"/>
      <c r="N52" s="306"/>
      <c r="O52" s="306"/>
      <c r="P52" s="306"/>
      <c r="Q52" s="306"/>
      <c r="R52" s="306"/>
      <c r="S52" s="306"/>
      <c r="T52" s="306"/>
      <c r="U52" s="306"/>
      <c r="V52" s="306"/>
      <c r="W52" s="306"/>
      <c r="X52" s="306"/>
      <c r="Y52" s="306"/>
      <c r="Z52" s="306"/>
      <c r="AA52" s="306"/>
      <c r="AB52" s="306"/>
      <c r="AC52" s="306"/>
      <c r="AD52" s="307"/>
      <c r="AE52" s="107"/>
      <c r="AF52" s="116"/>
      <c r="AG52" s="116"/>
      <c r="AH52" s="116"/>
      <c r="AI52" s="116"/>
      <c r="AJ52" s="116"/>
      <c r="AK52" s="116"/>
      <c r="AL52" s="116"/>
      <c r="AM52" s="116"/>
      <c r="AN52" s="124"/>
      <c r="AO52" s="120"/>
    </row>
    <row r="53" spans="1:50" x14ac:dyDescent="0.2">
      <c r="C53" s="367" t="s">
        <v>45</v>
      </c>
      <c r="D53" s="368"/>
      <c r="E53" s="368"/>
      <c r="F53" s="369"/>
      <c r="G53" s="324" t="s">
        <v>46</v>
      </c>
      <c r="H53" s="325"/>
      <c r="I53" s="325"/>
      <c r="J53" s="325"/>
      <c r="K53" s="326"/>
      <c r="L53" s="116"/>
      <c r="M53" s="116"/>
      <c r="N53" s="116"/>
      <c r="O53" s="116"/>
      <c r="P53" s="116"/>
      <c r="Q53" s="116"/>
      <c r="R53" s="133"/>
      <c r="S53" s="116"/>
      <c r="T53" s="116"/>
      <c r="U53" s="116"/>
      <c r="V53" s="116"/>
      <c r="W53" s="116"/>
      <c r="X53" s="116"/>
      <c r="Y53" s="116"/>
      <c r="Z53" s="116"/>
      <c r="AA53" s="116"/>
      <c r="AB53" s="116"/>
      <c r="AC53" s="116"/>
      <c r="AD53" s="133"/>
      <c r="AE53" s="116"/>
      <c r="AF53" s="116"/>
      <c r="AG53" s="116"/>
      <c r="AH53" s="116"/>
      <c r="AI53" s="116"/>
      <c r="AJ53" s="116"/>
      <c r="AK53" s="116"/>
      <c r="AL53" s="116"/>
      <c r="AM53" s="116"/>
      <c r="AN53" s="124"/>
      <c r="AO53" s="124"/>
    </row>
    <row r="54" spans="1:50" s="110" customFormat="1" x14ac:dyDescent="0.2">
      <c r="A54" s="108"/>
      <c r="B54" s="109"/>
      <c r="C54" s="370"/>
      <c r="D54" s="371"/>
      <c r="E54" s="371"/>
      <c r="F54" s="372"/>
      <c r="G54" s="116"/>
      <c r="H54" s="116"/>
      <c r="I54" s="116"/>
      <c r="J54" s="116"/>
      <c r="K54" s="354" t="s">
        <v>47</v>
      </c>
      <c r="L54" s="355"/>
      <c r="M54" s="376"/>
      <c r="N54" s="376"/>
      <c r="O54" s="377"/>
      <c r="P54" s="116"/>
      <c r="Q54" s="116"/>
      <c r="R54" s="134"/>
      <c r="S54" s="116"/>
      <c r="T54" s="116"/>
      <c r="U54" s="116"/>
      <c r="V54" s="116"/>
      <c r="W54" s="116"/>
      <c r="X54" s="116"/>
      <c r="Y54" s="116"/>
      <c r="Z54" s="116"/>
      <c r="AA54" s="116"/>
      <c r="AB54" s="116"/>
      <c r="AC54" s="116"/>
      <c r="AD54" s="134"/>
      <c r="AE54" s="116"/>
      <c r="AF54" s="116"/>
      <c r="AG54" s="116"/>
      <c r="AH54" s="116"/>
      <c r="AI54" s="116"/>
      <c r="AJ54" s="116"/>
      <c r="AK54" s="116"/>
      <c r="AL54" s="116"/>
      <c r="AM54" s="116"/>
      <c r="AN54" s="124"/>
      <c r="AO54" s="124"/>
      <c r="AS54" s="109"/>
      <c r="AT54" s="109"/>
      <c r="AU54" s="109"/>
      <c r="AV54" s="109"/>
      <c r="AW54" s="109"/>
      <c r="AX54" s="109"/>
    </row>
    <row r="55" spans="1:50" s="110" customFormat="1" x14ac:dyDescent="0.2">
      <c r="A55" s="108"/>
      <c r="B55" s="109"/>
      <c r="C55" s="370"/>
      <c r="D55" s="371"/>
      <c r="E55" s="371"/>
      <c r="F55" s="372"/>
      <c r="G55" s="116"/>
      <c r="H55" s="116"/>
      <c r="I55" s="116"/>
      <c r="J55" s="116"/>
      <c r="K55" s="129"/>
      <c r="L55" s="116"/>
      <c r="M55" s="379" t="s">
        <v>48</v>
      </c>
      <c r="N55" s="380"/>
      <c r="O55" s="380"/>
      <c r="P55" s="380"/>
      <c r="Q55" s="380"/>
      <c r="R55" s="380"/>
      <c r="S55" s="380"/>
      <c r="T55" s="380"/>
      <c r="U55" s="380"/>
      <c r="V55" s="380"/>
      <c r="W55" s="380"/>
      <c r="X55" s="380"/>
      <c r="Y55" s="380"/>
      <c r="Z55" s="380"/>
      <c r="AA55" s="380"/>
      <c r="AB55" s="380"/>
      <c r="AC55" s="380"/>
      <c r="AD55" s="380"/>
      <c r="AE55" s="380"/>
      <c r="AF55" s="380"/>
      <c r="AG55" s="380"/>
      <c r="AH55" s="380"/>
      <c r="AI55" s="380"/>
      <c r="AJ55" s="380"/>
      <c r="AK55" s="380"/>
      <c r="AL55" s="380"/>
      <c r="AM55" s="380"/>
      <c r="AN55" s="381"/>
      <c r="AO55" s="124"/>
      <c r="AS55" s="109"/>
      <c r="AT55" s="109"/>
      <c r="AU55" s="109"/>
      <c r="AV55" s="109"/>
      <c r="AW55" s="109"/>
      <c r="AX55" s="109"/>
    </row>
    <row r="56" spans="1:50" s="110" customFormat="1" x14ac:dyDescent="0.2">
      <c r="A56" s="108"/>
      <c r="B56" s="109"/>
      <c r="C56" s="370"/>
      <c r="D56" s="371"/>
      <c r="E56" s="371"/>
      <c r="F56" s="372"/>
      <c r="G56" s="116"/>
      <c r="H56" s="116"/>
      <c r="I56" s="116"/>
      <c r="J56" s="116"/>
      <c r="K56" s="130"/>
      <c r="L56" s="116"/>
      <c r="M56" s="130"/>
      <c r="N56" s="116"/>
      <c r="O56" s="116"/>
      <c r="P56" s="130"/>
      <c r="Q56" s="311" t="s">
        <v>50</v>
      </c>
      <c r="R56" s="312"/>
      <c r="S56" s="312"/>
      <c r="T56" s="312"/>
      <c r="U56" s="313"/>
      <c r="V56" s="116"/>
      <c r="W56" s="116"/>
      <c r="X56" s="116"/>
      <c r="Y56" s="116"/>
      <c r="Z56" s="116"/>
      <c r="AA56" s="116"/>
      <c r="AB56" s="116"/>
      <c r="AC56" s="116"/>
      <c r="AD56" s="135"/>
      <c r="AE56" s="116"/>
      <c r="AF56" s="116"/>
      <c r="AG56" s="116"/>
      <c r="AH56" s="116"/>
      <c r="AI56" s="116"/>
      <c r="AJ56" s="116"/>
      <c r="AK56" s="116"/>
      <c r="AL56" s="116"/>
      <c r="AM56" s="116"/>
      <c r="AN56" s="125"/>
      <c r="AO56" s="124"/>
      <c r="AS56" s="109"/>
      <c r="AT56" s="109"/>
      <c r="AU56" s="109"/>
      <c r="AV56" s="109"/>
      <c r="AW56" s="109"/>
      <c r="AX56" s="109"/>
    </row>
    <row r="57" spans="1:50" s="110" customFormat="1" x14ac:dyDescent="0.2">
      <c r="A57" s="108"/>
      <c r="B57" s="109"/>
      <c r="C57" s="370"/>
      <c r="D57" s="371"/>
      <c r="E57" s="371"/>
      <c r="F57" s="372"/>
      <c r="G57" s="116"/>
      <c r="H57" s="116"/>
      <c r="I57" s="116"/>
      <c r="J57" s="116"/>
      <c r="K57" s="130"/>
      <c r="L57" s="116"/>
      <c r="M57" s="130"/>
      <c r="N57" s="116"/>
      <c r="O57" s="116"/>
      <c r="P57" s="130"/>
      <c r="Q57" s="116"/>
      <c r="R57" s="116"/>
      <c r="S57" s="130"/>
      <c r="T57" s="116"/>
      <c r="U57" s="382" t="s">
        <v>51</v>
      </c>
      <c r="V57" s="383"/>
      <c r="W57" s="383"/>
      <c r="X57" s="383"/>
      <c r="Y57" s="383"/>
      <c r="Z57" s="383"/>
      <c r="AA57" s="383"/>
      <c r="AB57" s="383"/>
      <c r="AC57" s="383"/>
      <c r="AD57" s="383"/>
      <c r="AE57" s="383"/>
      <c r="AF57" s="383"/>
      <c r="AG57" s="383"/>
      <c r="AH57" s="383"/>
      <c r="AI57" s="383"/>
      <c r="AJ57" s="383"/>
      <c r="AK57" s="383"/>
      <c r="AL57" s="383"/>
      <c r="AM57" s="383"/>
      <c r="AN57" s="384"/>
      <c r="AO57" s="121"/>
      <c r="AS57" s="109"/>
      <c r="AT57" s="109"/>
      <c r="AU57" s="109"/>
      <c r="AV57" s="109"/>
      <c r="AW57" s="109"/>
      <c r="AX57" s="109"/>
    </row>
    <row r="58" spans="1:50" s="110" customFormat="1" x14ac:dyDescent="0.2">
      <c r="A58" s="108"/>
      <c r="B58" s="109"/>
      <c r="C58" s="370"/>
      <c r="D58" s="371"/>
      <c r="E58" s="371"/>
      <c r="F58" s="372"/>
      <c r="G58" s="116"/>
      <c r="H58" s="116"/>
      <c r="I58" s="116"/>
      <c r="J58" s="116"/>
      <c r="K58" s="130"/>
      <c r="L58" s="116"/>
      <c r="M58" s="130"/>
      <c r="N58" s="116"/>
      <c r="O58" s="116"/>
      <c r="P58" s="130"/>
      <c r="Q58" s="116"/>
      <c r="R58" s="116"/>
      <c r="S58" s="130"/>
      <c r="T58" s="116"/>
      <c r="U58" s="130"/>
      <c r="V58" s="385" t="s">
        <v>52</v>
      </c>
      <c r="W58" s="386"/>
      <c r="X58" s="386"/>
      <c r="Y58" s="387"/>
      <c r="Z58" s="387"/>
      <c r="AA58" s="387"/>
      <c r="AB58" s="387"/>
      <c r="AC58" s="388"/>
      <c r="AD58" s="134"/>
      <c r="AE58" s="116"/>
      <c r="AF58" s="116"/>
      <c r="AG58" s="116"/>
      <c r="AH58" s="116"/>
      <c r="AI58" s="116"/>
      <c r="AJ58" s="116"/>
      <c r="AK58" s="116"/>
      <c r="AL58" s="116"/>
      <c r="AM58" s="116"/>
      <c r="AN58" s="134"/>
      <c r="AO58" s="124"/>
      <c r="AS58" s="109"/>
      <c r="AT58" s="109"/>
      <c r="AU58" s="109"/>
      <c r="AV58" s="109"/>
      <c r="AW58" s="109"/>
      <c r="AX58" s="109"/>
    </row>
    <row r="59" spans="1:50" s="110" customFormat="1" x14ac:dyDescent="0.2">
      <c r="A59" s="108"/>
      <c r="B59" s="109"/>
      <c r="C59" s="370"/>
      <c r="D59" s="371"/>
      <c r="E59" s="371"/>
      <c r="F59" s="372"/>
      <c r="G59" s="116"/>
      <c r="H59" s="116"/>
      <c r="I59" s="116"/>
      <c r="J59" s="116"/>
      <c r="K59" s="130"/>
      <c r="L59" s="116"/>
      <c r="M59" s="130"/>
      <c r="N59" s="116"/>
      <c r="O59" s="116"/>
      <c r="P59" s="130"/>
      <c r="Q59" s="116"/>
      <c r="R59" s="116"/>
      <c r="S59" s="130"/>
      <c r="T59" s="116"/>
      <c r="U59" s="130"/>
      <c r="V59" s="130"/>
      <c r="W59" s="116"/>
      <c r="X59" s="116"/>
      <c r="Y59" s="360" t="s">
        <v>53</v>
      </c>
      <c r="Z59" s="361"/>
      <c r="AA59" s="361"/>
      <c r="AB59" s="361"/>
      <c r="AC59" s="361"/>
      <c r="AD59" s="361"/>
      <c r="AE59" s="361"/>
      <c r="AF59" s="361"/>
      <c r="AG59" s="361"/>
      <c r="AH59" s="361"/>
      <c r="AI59" s="361"/>
      <c r="AJ59" s="361"/>
      <c r="AK59" s="361"/>
      <c r="AL59" s="361"/>
      <c r="AM59" s="362"/>
      <c r="AN59" s="134"/>
      <c r="AO59" s="124"/>
      <c r="AS59" s="109"/>
      <c r="AT59" s="109"/>
      <c r="AU59" s="109"/>
      <c r="AV59" s="109"/>
      <c r="AW59" s="109"/>
      <c r="AX59" s="109"/>
    </row>
    <row r="60" spans="1:50" s="110" customFormat="1" x14ac:dyDescent="0.2">
      <c r="A60" s="108"/>
      <c r="B60" s="109"/>
      <c r="C60" s="370"/>
      <c r="D60" s="371"/>
      <c r="E60" s="371"/>
      <c r="F60" s="372"/>
      <c r="G60" s="116"/>
      <c r="H60" s="116"/>
      <c r="I60" s="116"/>
      <c r="J60" s="116"/>
      <c r="K60" s="130"/>
      <c r="L60" s="116"/>
      <c r="M60" s="130"/>
      <c r="N60" s="116"/>
      <c r="O60" s="116"/>
      <c r="P60" s="130"/>
      <c r="Q60" s="116"/>
      <c r="R60" s="116"/>
      <c r="S60" s="130"/>
      <c r="T60" s="116"/>
      <c r="U60" s="130"/>
      <c r="V60" s="130"/>
      <c r="W60" s="116"/>
      <c r="X60" s="116"/>
      <c r="Y60" s="130"/>
      <c r="Z60" s="116"/>
      <c r="AA60" s="116"/>
      <c r="AB60" s="116"/>
      <c r="AC60" s="116"/>
      <c r="AD60" s="134"/>
      <c r="AE60" s="116"/>
      <c r="AF60" s="116"/>
      <c r="AG60" s="116"/>
      <c r="AH60" s="116"/>
      <c r="AI60" s="116"/>
      <c r="AJ60" s="116"/>
      <c r="AK60" s="116"/>
      <c r="AL60" s="116"/>
      <c r="AM60" s="365" t="s">
        <v>54</v>
      </c>
      <c r="AN60" s="366"/>
      <c r="AO60" s="125"/>
      <c r="AS60" s="109"/>
      <c r="AT60" s="109"/>
      <c r="AU60" s="109"/>
      <c r="AV60" s="109"/>
      <c r="AW60" s="109"/>
      <c r="AX60" s="109"/>
    </row>
    <row r="61" spans="1:50" s="110" customFormat="1" ht="16" thickBot="1" x14ac:dyDescent="0.25">
      <c r="A61" s="108"/>
      <c r="B61" s="109"/>
      <c r="C61" s="373"/>
      <c r="D61" s="374"/>
      <c r="E61" s="374"/>
      <c r="F61" s="375"/>
      <c r="G61" s="122"/>
      <c r="H61" s="122"/>
      <c r="I61" s="122"/>
      <c r="J61" s="122"/>
      <c r="K61" s="131"/>
      <c r="L61" s="122"/>
      <c r="M61" s="130"/>
      <c r="N61" s="122"/>
      <c r="O61" s="122"/>
      <c r="P61" s="130"/>
      <c r="Q61" s="122"/>
      <c r="R61" s="122"/>
      <c r="S61" s="130"/>
      <c r="T61" s="122"/>
      <c r="U61" s="130"/>
      <c r="V61" s="130"/>
      <c r="W61" s="122"/>
      <c r="X61" s="122"/>
      <c r="Y61" s="130"/>
      <c r="Z61" s="122"/>
      <c r="AA61" s="122"/>
      <c r="AB61" s="122"/>
      <c r="AC61" s="122"/>
      <c r="AD61" s="134"/>
      <c r="AE61" s="116"/>
      <c r="AF61" s="122"/>
      <c r="AG61" s="122"/>
      <c r="AH61" s="122"/>
      <c r="AI61" s="122"/>
      <c r="AJ61" s="122"/>
      <c r="AK61" s="122"/>
      <c r="AL61" s="363" t="s">
        <v>49</v>
      </c>
      <c r="AM61" s="363"/>
      <c r="AN61" s="364"/>
      <c r="AO61" s="125"/>
      <c r="AS61" s="109"/>
      <c r="AT61" s="109"/>
      <c r="AU61" s="109"/>
      <c r="AV61" s="109"/>
      <c r="AW61" s="109"/>
      <c r="AX61" s="109"/>
    </row>
    <row r="62" spans="1:50" ht="31" thickBot="1" x14ac:dyDescent="0.25">
      <c r="A62" s="200" t="s">
        <v>82</v>
      </c>
      <c r="C62" s="117" t="s">
        <v>0</v>
      </c>
      <c r="D62" s="118"/>
      <c r="E62" s="118" t="s">
        <v>1</v>
      </c>
      <c r="F62" s="119"/>
      <c r="G62" s="69">
        <v>44927</v>
      </c>
      <c r="H62" s="69">
        <v>44958</v>
      </c>
      <c r="I62" s="69">
        <v>44986</v>
      </c>
      <c r="J62" s="69">
        <v>45017</v>
      </c>
      <c r="K62" s="69">
        <v>45047</v>
      </c>
      <c r="L62" s="69">
        <v>45078</v>
      </c>
      <c r="M62" s="69">
        <v>45108</v>
      </c>
      <c r="N62" s="69">
        <v>45139</v>
      </c>
      <c r="O62" s="69">
        <v>45170</v>
      </c>
      <c r="P62" s="69">
        <v>45200</v>
      </c>
      <c r="Q62" s="69">
        <v>45231</v>
      </c>
      <c r="R62" s="69">
        <v>45261</v>
      </c>
      <c r="S62" s="70">
        <v>45292</v>
      </c>
      <c r="T62" s="70">
        <v>45323</v>
      </c>
      <c r="U62" s="70">
        <v>45352</v>
      </c>
      <c r="V62" s="70">
        <v>45383</v>
      </c>
      <c r="W62" s="70">
        <v>45413</v>
      </c>
      <c r="X62" s="70">
        <v>45444</v>
      </c>
      <c r="Y62" s="70">
        <v>45474</v>
      </c>
      <c r="Z62" s="70">
        <v>45505</v>
      </c>
      <c r="AA62" s="70">
        <v>45536</v>
      </c>
      <c r="AB62" s="70">
        <v>45566</v>
      </c>
      <c r="AC62" s="70">
        <v>45597</v>
      </c>
      <c r="AD62" s="70">
        <v>45627</v>
      </c>
      <c r="AE62" s="70"/>
      <c r="AF62" s="70">
        <v>45658</v>
      </c>
      <c r="AG62" s="70">
        <v>45689</v>
      </c>
      <c r="AH62" s="70">
        <v>45717</v>
      </c>
      <c r="AI62" s="70">
        <v>45748</v>
      </c>
      <c r="AJ62" s="70">
        <v>45778</v>
      </c>
      <c r="AK62" s="70">
        <v>45809</v>
      </c>
      <c r="AL62" s="70">
        <v>45839</v>
      </c>
      <c r="AM62" s="70">
        <v>45870</v>
      </c>
      <c r="AN62" s="70">
        <v>45901</v>
      </c>
      <c r="AO62" s="70">
        <v>45931</v>
      </c>
      <c r="AP62" s="16" t="s">
        <v>2</v>
      </c>
      <c r="AQ62" s="17" t="s">
        <v>6</v>
      </c>
      <c r="AR62" s="17" t="s">
        <v>7</v>
      </c>
    </row>
    <row r="63" spans="1:50" s="28" customFormat="1" x14ac:dyDescent="0.2">
      <c r="A63" s="33" t="s">
        <v>32</v>
      </c>
      <c r="B63" s="23"/>
      <c r="C63" s="330" t="s">
        <v>3</v>
      </c>
      <c r="D63" s="331"/>
      <c r="E63" s="331"/>
      <c r="F63" s="331"/>
      <c r="G63" s="334">
        <v>2023</v>
      </c>
      <c r="H63" s="335"/>
      <c r="I63" s="335"/>
      <c r="J63" s="335"/>
      <c r="K63" s="335"/>
      <c r="L63" s="335"/>
      <c r="M63" s="335"/>
      <c r="N63" s="335"/>
      <c r="O63" s="335"/>
      <c r="P63" s="335"/>
      <c r="Q63" s="335"/>
      <c r="R63" s="336"/>
      <c r="S63" s="308">
        <v>2024</v>
      </c>
      <c r="T63" s="309"/>
      <c r="U63" s="309"/>
      <c r="V63" s="309"/>
      <c r="W63" s="309"/>
      <c r="X63" s="309"/>
      <c r="Y63" s="309"/>
      <c r="Z63" s="309"/>
      <c r="AA63" s="309"/>
      <c r="AB63" s="309"/>
      <c r="AC63" s="309"/>
      <c r="AD63" s="310"/>
      <c r="AE63" s="148"/>
      <c r="AF63" s="308">
        <v>2025</v>
      </c>
      <c r="AG63" s="309"/>
      <c r="AH63" s="309"/>
      <c r="AI63" s="309"/>
      <c r="AJ63" s="309"/>
      <c r="AK63" s="309"/>
      <c r="AL63" s="309"/>
      <c r="AM63" s="309"/>
      <c r="AN63" s="309"/>
      <c r="AO63" s="310"/>
      <c r="AP63" s="27"/>
      <c r="AQ63" s="27"/>
      <c r="AR63" s="27"/>
      <c r="AS63" s="23"/>
      <c r="AT63" s="23"/>
      <c r="AU63" s="23"/>
      <c r="AV63" s="23"/>
      <c r="AW63" s="23"/>
      <c r="AX63" s="23"/>
    </row>
    <row r="64" spans="1:50" s="28" customFormat="1" x14ac:dyDescent="0.2">
      <c r="A64" s="34"/>
      <c r="B64" s="23"/>
      <c r="C64" s="332" t="s">
        <v>4</v>
      </c>
      <c r="D64" s="333"/>
      <c r="E64" s="333"/>
      <c r="F64" s="333"/>
      <c r="G64" s="1">
        <f>(H62-G62)/7</f>
        <v>4.4285714285714288</v>
      </c>
      <c r="H64" s="2">
        <f t="shared" ref="H64:AC64" si="26">(I62-H62)/7</f>
        <v>4</v>
      </c>
      <c r="I64" s="2">
        <f t="shared" si="26"/>
        <v>4.4285714285714288</v>
      </c>
      <c r="J64" s="2">
        <f t="shared" si="26"/>
        <v>4.2857142857142856</v>
      </c>
      <c r="K64" s="2">
        <f t="shared" si="26"/>
        <v>4.4285714285714288</v>
      </c>
      <c r="L64" s="2">
        <f t="shared" si="26"/>
        <v>4.2857142857142856</v>
      </c>
      <c r="M64" s="2">
        <f t="shared" si="26"/>
        <v>4.4285714285714288</v>
      </c>
      <c r="N64" s="2">
        <f t="shared" si="26"/>
        <v>4.4285714285714288</v>
      </c>
      <c r="O64" s="2">
        <f t="shared" si="26"/>
        <v>4.2857142857142856</v>
      </c>
      <c r="P64" s="2">
        <f t="shared" si="26"/>
        <v>4.4285714285714288</v>
      </c>
      <c r="Q64" s="2">
        <f t="shared" si="26"/>
        <v>4.2857142857142856</v>
      </c>
      <c r="R64" s="3">
        <f t="shared" si="26"/>
        <v>4.4285714285714288</v>
      </c>
      <c r="S64" s="1">
        <f t="shared" si="26"/>
        <v>4.4285714285714288</v>
      </c>
      <c r="T64" s="2">
        <f t="shared" si="26"/>
        <v>4.1428571428571432</v>
      </c>
      <c r="U64" s="2">
        <f t="shared" si="26"/>
        <v>4.4285714285714288</v>
      </c>
      <c r="V64" s="2">
        <f t="shared" si="26"/>
        <v>4.2857142857142856</v>
      </c>
      <c r="W64" s="2">
        <f t="shared" si="26"/>
        <v>4.4285714285714288</v>
      </c>
      <c r="X64" s="2">
        <f t="shared" si="26"/>
        <v>4.2857142857142856</v>
      </c>
      <c r="Y64" s="2">
        <f t="shared" si="26"/>
        <v>4.4285714285714288</v>
      </c>
      <c r="Z64" s="2">
        <f t="shared" si="26"/>
        <v>4.4285714285714288</v>
      </c>
      <c r="AA64" s="2">
        <f t="shared" si="26"/>
        <v>4.2857142857142856</v>
      </c>
      <c r="AB64" s="2">
        <f t="shared" si="26"/>
        <v>4.4285714285714288</v>
      </c>
      <c r="AC64" s="2">
        <f t="shared" si="26"/>
        <v>4.2857142857142856</v>
      </c>
      <c r="AD64" s="3">
        <f>(AF62-AD62)/7</f>
        <v>4.4285714285714288</v>
      </c>
      <c r="AE64" s="149"/>
      <c r="AF64" s="2">
        <f t="shared" ref="AF64:AN64" si="27">(AG62-AF62)/7</f>
        <v>4.4285714285714288</v>
      </c>
      <c r="AG64" s="2">
        <f t="shared" si="27"/>
        <v>4</v>
      </c>
      <c r="AH64" s="2">
        <f t="shared" si="27"/>
        <v>4.4285714285714288</v>
      </c>
      <c r="AI64" s="2">
        <f t="shared" si="27"/>
        <v>4.2857142857142856</v>
      </c>
      <c r="AJ64" s="2">
        <f t="shared" si="27"/>
        <v>4.4285714285714288</v>
      </c>
      <c r="AK64" s="2">
        <f t="shared" si="27"/>
        <v>4.2857142857142856</v>
      </c>
      <c r="AL64" s="2">
        <f t="shared" si="27"/>
        <v>4.4285714285714288</v>
      </c>
      <c r="AM64" s="2">
        <f t="shared" si="27"/>
        <v>4.4285714285714288</v>
      </c>
      <c r="AN64" s="2">
        <f t="shared" si="27"/>
        <v>4.2857142857142856</v>
      </c>
      <c r="AO64" s="3"/>
      <c r="AP64" s="4"/>
      <c r="AQ64" s="4"/>
      <c r="AR64" s="4"/>
      <c r="AS64" s="23"/>
      <c r="AT64" s="23"/>
      <c r="AU64" s="23"/>
      <c r="AV64" s="23"/>
      <c r="AW64" s="23"/>
      <c r="AX64" s="23"/>
    </row>
    <row r="65" spans="1:50" s="28" customFormat="1" x14ac:dyDescent="0.2">
      <c r="A65" s="34"/>
      <c r="B65" s="23"/>
      <c r="C65" s="332" t="s">
        <v>5</v>
      </c>
      <c r="D65" s="333"/>
      <c r="E65" s="333"/>
      <c r="F65" s="333"/>
      <c r="G65" s="1">
        <v>1</v>
      </c>
      <c r="H65" s="2">
        <f t="shared" ref="H65" si="28">G65</f>
        <v>1</v>
      </c>
      <c r="I65" s="2">
        <f t="shared" ref="I65" si="29">H65</f>
        <v>1</v>
      </c>
      <c r="J65" s="2">
        <f t="shared" ref="J65" si="30">I65</f>
        <v>1</v>
      </c>
      <c r="K65" s="2">
        <f t="shared" ref="K65" si="31">J65</f>
        <v>1</v>
      </c>
      <c r="L65" s="2">
        <f t="shared" ref="L65" si="32">K65</f>
        <v>1</v>
      </c>
      <c r="M65" s="2">
        <v>1.05</v>
      </c>
      <c r="N65" s="2">
        <f t="shared" ref="N65" si="33">M65</f>
        <v>1.05</v>
      </c>
      <c r="O65" s="2">
        <f t="shared" ref="O65" si="34">N65</f>
        <v>1.05</v>
      </c>
      <c r="P65" s="2">
        <f t="shared" ref="P65" si="35">O65</f>
        <v>1.05</v>
      </c>
      <c r="Q65" s="2">
        <f t="shared" ref="Q65" si="36">P65</f>
        <v>1.05</v>
      </c>
      <c r="R65" s="3">
        <f t="shared" ref="R65" si="37">Q65</f>
        <v>1.05</v>
      </c>
      <c r="S65" s="1">
        <f t="shared" ref="S65" si="38">R65</f>
        <v>1.05</v>
      </c>
      <c r="T65" s="2">
        <f t="shared" ref="T65" si="39">S65</f>
        <v>1.05</v>
      </c>
      <c r="U65" s="2">
        <f t="shared" ref="U65" si="40">T65</f>
        <v>1.05</v>
      </c>
      <c r="V65" s="2">
        <f t="shared" ref="V65" si="41">U65</f>
        <v>1.05</v>
      </c>
      <c r="W65" s="2">
        <f t="shared" ref="W65" si="42">V65</f>
        <v>1.05</v>
      </c>
      <c r="X65" s="2">
        <f t="shared" ref="X65" si="43">W65</f>
        <v>1.05</v>
      </c>
      <c r="Y65" s="2">
        <f>X65*1.05</f>
        <v>1.1025</v>
      </c>
      <c r="Z65" s="2">
        <f t="shared" ref="Z65" si="44">Y65</f>
        <v>1.1025</v>
      </c>
      <c r="AA65" s="2">
        <f>Z65</f>
        <v>1.1025</v>
      </c>
      <c r="AB65" s="2">
        <f>AA65</f>
        <v>1.1025</v>
      </c>
      <c r="AC65" s="2">
        <f>AB65</f>
        <v>1.1025</v>
      </c>
      <c r="AD65" s="3">
        <f>AC65</f>
        <v>1.1025</v>
      </c>
      <c r="AE65" s="149"/>
      <c r="AF65" s="2">
        <f>AD65</f>
        <v>1.1025</v>
      </c>
      <c r="AG65" s="2">
        <f t="shared" ref="AG65:AN65" si="45">AF65</f>
        <v>1.1025</v>
      </c>
      <c r="AH65" s="2">
        <f t="shared" si="45"/>
        <v>1.1025</v>
      </c>
      <c r="AI65" s="2">
        <f t="shared" si="45"/>
        <v>1.1025</v>
      </c>
      <c r="AJ65" s="2">
        <f t="shared" si="45"/>
        <v>1.1025</v>
      </c>
      <c r="AK65" s="2">
        <f t="shared" si="45"/>
        <v>1.1025</v>
      </c>
      <c r="AL65" s="2">
        <f t="shared" si="45"/>
        <v>1.1025</v>
      </c>
      <c r="AM65" s="2">
        <f t="shared" si="45"/>
        <v>1.1025</v>
      </c>
      <c r="AN65" s="2">
        <f t="shared" si="45"/>
        <v>1.1025</v>
      </c>
      <c r="AO65" s="3"/>
      <c r="AP65" s="4"/>
      <c r="AQ65" s="4"/>
      <c r="AR65" s="4"/>
      <c r="AS65" s="23"/>
      <c r="AT65" s="23"/>
      <c r="AU65" s="23"/>
      <c r="AV65" s="23"/>
      <c r="AW65" s="23"/>
      <c r="AX65" s="23"/>
    </row>
    <row r="66" spans="1:50" x14ac:dyDescent="0.2">
      <c r="A66" s="34"/>
      <c r="C66" s="29" t="s">
        <v>37</v>
      </c>
      <c r="D66" s="21"/>
      <c r="E66" s="61" t="s">
        <v>83</v>
      </c>
      <c r="F66" s="12"/>
      <c r="G66" s="5"/>
      <c r="H66" s="6"/>
      <c r="I66" s="6"/>
      <c r="J66" s="6"/>
      <c r="K66" s="6"/>
      <c r="L66" s="6"/>
      <c r="M66" s="6"/>
      <c r="N66" s="6"/>
      <c r="O66" s="6"/>
      <c r="P66" s="6"/>
      <c r="Q66" s="6"/>
      <c r="R66" s="15"/>
      <c r="S66" s="5"/>
      <c r="T66" s="6"/>
      <c r="U66" s="6"/>
      <c r="V66" s="6"/>
      <c r="W66" s="6"/>
      <c r="X66" s="6"/>
      <c r="Y66" s="6"/>
      <c r="Z66" s="6"/>
      <c r="AA66" s="6"/>
      <c r="AB66" s="6"/>
      <c r="AC66" s="6"/>
      <c r="AD66" s="7"/>
      <c r="AE66" s="15"/>
      <c r="AF66" s="6"/>
      <c r="AG66" s="6"/>
      <c r="AH66" s="6"/>
      <c r="AI66" s="6"/>
      <c r="AJ66" s="6"/>
      <c r="AK66" s="6"/>
      <c r="AL66" s="6"/>
      <c r="AM66" s="6"/>
      <c r="AN66" s="6"/>
      <c r="AO66" s="13"/>
      <c r="AP66" s="8"/>
      <c r="AQ66" s="8"/>
      <c r="AR66" s="8"/>
    </row>
    <row r="67" spans="1:50" x14ac:dyDescent="0.2">
      <c r="A67" s="35">
        <v>10876.281755196305</v>
      </c>
      <c r="C67" s="53"/>
      <c r="D67" s="58" t="s">
        <v>14</v>
      </c>
      <c r="E67" s="71">
        <f t="shared" ref="E67:E79" si="46">A67</f>
        <v>10876.281755196305</v>
      </c>
      <c r="F67" s="54"/>
      <c r="G67" s="63"/>
      <c r="H67" s="41"/>
      <c r="I67" s="41"/>
      <c r="J67" s="41"/>
      <c r="K67" s="41"/>
      <c r="L67" s="41"/>
      <c r="M67" s="41">
        <v>0.1</v>
      </c>
      <c r="N67" s="41">
        <v>0.1</v>
      </c>
      <c r="O67" s="41">
        <v>0.25</v>
      </c>
      <c r="P67" s="41">
        <v>0.25</v>
      </c>
      <c r="Q67" s="41">
        <v>0.1</v>
      </c>
      <c r="R67" s="75">
        <v>0.1</v>
      </c>
      <c r="S67" s="63">
        <v>0.1</v>
      </c>
      <c r="T67" s="41">
        <v>0.1</v>
      </c>
      <c r="U67" s="41">
        <v>0.1</v>
      </c>
      <c r="V67" s="41">
        <v>0.1</v>
      </c>
      <c r="W67" s="41">
        <v>0.1</v>
      </c>
      <c r="X67" s="41">
        <v>0.1</v>
      </c>
      <c r="Y67" s="41">
        <v>0.1</v>
      </c>
      <c r="Z67" s="41">
        <v>0.1</v>
      </c>
      <c r="AA67" s="41">
        <v>0.1</v>
      </c>
      <c r="AB67" s="41">
        <v>0.1</v>
      </c>
      <c r="AC67" s="41">
        <v>0.1</v>
      </c>
      <c r="AD67" s="76">
        <v>0.1</v>
      </c>
      <c r="AE67" s="150"/>
      <c r="AF67" s="41">
        <v>0.1</v>
      </c>
      <c r="AG67" s="41">
        <v>0.1</v>
      </c>
      <c r="AH67" s="41">
        <v>0.1</v>
      </c>
      <c r="AI67" s="41">
        <v>0.1</v>
      </c>
      <c r="AJ67" s="41">
        <v>0.1</v>
      </c>
      <c r="AK67" s="41">
        <v>0.1</v>
      </c>
      <c r="AL67" s="41">
        <v>0.2</v>
      </c>
      <c r="AM67" s="41">
        <v>0.25</v>
      </c>
      <c r="AN67" s="41">
        <v>0.1</v>
      </c>
      <c r="AO67" s="52"/>
      <c r="AP67" s="30">
        <f t="shared" ref="AP67:AP79" si="47">SUMPRODUCT(G67:AO67,$G$64:$AO$64,$G$65:$AO$65)*(A67)</f>
        <v>166199.10196593541</v>
      </c>
      <c r="AQ67" s="57">
        <f t="shared" ref="AQ67:AQ79" si="48">COUNT(G67:AN67)</f>
        <v>27</v>
      </c>
      <c r="AR67" s="30">
        <f>AP67/AQ67</f>
        <v>6155.5222950346442</v>
      </c>
    </row>
    <row r="68" spans="1:50" x14ac:dyDescent="0.2">
      <c r="A68" s="35">
        <v>9887.5288683602776</v>
      </c>
      <c r="C68" s="53"/>
      <c r="D68" s="58" t="s">
        <v>12</v>
      </c>
      <c r="E68" s="71">
        <f t="shared" si="46"/>
        <v>9887.5288683602776</v>
      </c>
      <c r="F68" s="54"/>
      <c r="G68" s="63"/>
      <c r="H68" s="41"/>
      <c r="I68" s="41"/>
      <c r="J68" s="41"/>
      <c r="K68" s="41">
        <v>0.1</v>
      </c>
      <c r="L68" s="41">
        <v>0.1</v>
      </c>
      <c r="M68" s="41">
        <v>0.25</v>
      </c>
      <c r="N68" s="41">
        <v>0.25</v>
      </c>
      <c r="O68" s="41">
        <v>0.25</v>
      </c>
      <c r="P68" s="41">
        <v>0.1</v>
      </c>
      <c r="Q68" s="41">
        <v>0.1</v>
      </c>
      <c r="R68" s="76">
        <v>0.1</v>
      </c>
      <c r="S68" s="63">
        <v>0.1</v>
      </c>
      <c r="T68" s="41">
        <v>0.1</v>
      </c>
      <c r="U68" s="41">
        <v>0.1</v>
      </c>
      <c r="V68" s="41">
        <v>0.05</v>
      </c>
      <c r="W68" s="41">
        <v>0.05</v>
      </c>
      <c r="X68" s="41">
        <v>0.05</v>
      </c>
      <c r="Y68" s="41">
        <v>0.05</v>
      </c>
      <c r="Z68" s="41">
        <v>0.05</v>
      </c>
      <c r="AA68" s="41">
        <v>0.05</v>
      </c>
      <c r="AB68" s="41">
        <v>0.05</v>
      </c>
      <c r="AC68" s="41">
        <v>0.05</v>
      </c>
      <c r="AD68" s="76">
        <v>0.05</v>
      </c>
      <c r="AE68" s="150"/>
      <c r="AF68" s="41">
        <v>0.05</v>
      </c>
      <c r="AG68" s="41">
        <v>0.05</v>
      </c>
      <c r="AH68" s="41">
        <v>0.05</v>
      </c>
      <c r="AI68" s="41">
        <v>0.05</v>
      </c>
      <c r="AJ68" s="41">
        <v>0.05</v>
      </c>
      <c r="AK68" s="41">
        <v>0.05</v>
      </c>
      <c r="AL68" s="41">
        <v>0.05</v>
      </c>
      <c r="AM68" s="41">
        <v>0.05</v>
      </c>
      <c r="AN68" s="41">
        <v>0.05</v>
      </c>
      <c r="AO68" s="52"/>
      <c r="AP68" s="30">
        <f t="shared" si="47"/>
        <v>112201.73540498187</v>
      </c>
      <c r="AQ68" s="57">
        <f t="shared" si="48"/>
        <v>29</v>
      </c>
      <c r="AR68" s="30">
        <f t="shared" ref="AR68:AR69" si="49">AP68/AQ68</f>
        <v>3869.0253587924781</v>
      </c>
    </row>
    <row r="69" spans="1:50" x14ac:dyDescent="0.2">
      <c r="A69" s="35">
        <v>6464.8960739030026</v>
      </c>
      <c r="C69" s="53"/>
      <c r="D69" s="58" t="s">
        <v>11</v>
      </c>
      <c r="E69" s="71">
        <f>A69</f>
        <v>6464.8960739030026</v>
      </c>
      <c r="F69" s="54"/>
      <c r="G69" s="63"/>
      <c r="H69" s="41"/>
      <c r="I69" s="41"/>
      <c r="J69" s="41"/>
      <c r="K69" s="41">
        <v>0.1</v>
      </c>
      <c r="L69" s="41">
        <v>0.1</v>
      </c>
      <c r="M69" s="41">
        <v>0.25</v>
      </c>
      <c r="N69" s="41">
        <v>0.25</v>
      </c>
      <c r="O69" s="41">
        <v>0.25</v>
      </c>
      <c r="P69" s="41">
        <v>0.1</v>
      </c>
      <c r="Q69" s="41">
        <v>0.1</v>
      </c>
      <c r="R69" s="76">
        <v>0.25</v>
      </c>
      <c r="S69" s="41">
        <v>0.1</v>
      </c>
      <c r="T69" s="41">
        <v>0.1</v>
      </c>
      <c r="U69" s="41">
        <v>0.1</v>
      </c>
      <c r="V69" s="41">
        <v>0.1</v>
      </c>
      <c r="W69" s="41">
        <v>0.2</v>
      </c>
      <c r="X69" s="41">
        <v>0.2</v>
      </c>
      <c r="Y69" s="41">
        <v>0.2</v>
      </c>
      <c r="Z69" s="41">
        <v>0.2</v>
      </c>
      <c r="AA69" s="41">
        <v>0.2</v>
      </c>
      <c r="AB69" s="41">
        <v>0.2</v>
      </c>
      <c r="AC69" s="41">
        <v>0.2</v>
      </c>
      <c r="AD69" s="76">
        <v>0.2</v>
      </c>
      <c r="AE69" s="150"/>
      <c r="AF69" s="41">
        <v>0.2</v>
      </c>
      <c r="AG69" s="41">
        <v>0.2</v>
      </c>
      <c r="AH69" s="41">
        <v>0.2</v>
      </c>
      <c r="AI69" s="41">
        <v>0.2</v>
      </c>
      <c r="AJ69" s="41">
        <v>0.2</v>
      </c>
      <c r="AK69" s="41">
        <v>0.2</v>
      </c>
      <c r="AL69" s="41">
        <v>0.3</v>
      </c>
      <c r="AM69" s="41">
        <v>0.3</v>
      </c>
      <c r="AN69" s="41">
        <v>0.3</v>
      </c>
      <c r="AO69" s="52"/>
      <c r="AP69" s="30">
        <f t="shared" si="47"/>
        <v>167366.0002309469</v>
      </c>
      <c r="AQ69" s="57">
        <f t="shared" si="48"/>
        <v>29</v>
      </c>
      <c r="AR69" s="30">
        <f t="shared" si="49"/>
        <v>5771.2413872740308</v>
      </c>
    </row>
    <row r="70" spans="1:50" x14ac:dyDescent="0.2">
      <c r="A70" s="35">
        <v>5391.6859122401847</v>
      </c>
      <c r="C70" s="53"/>
      <c r="D70" s="58" t="s">
        <v>8</v>
      </c>
      <c r="E70" s="71">
        <f t="shared" si="46"/>
        <v>5391.6859122401847</v>
      </c>
      <c r="F70" s="54"/>
      <c r="G70" s="63">
        <v>0.5</v>
      </c>
      <c r="H70" s="41">
        <v>0.5</v>
      </c>
      <c r="I70" s="41">
        <v>0.25</v>
      </c>
      <c r="J70" s="41">
        <v>0.1</v>
      </c>
      <c r="K70" s="41">
        <v>0.1</v>
      </c>
      <c r="L70" s="41"/>
      <c r="M70" s="41"/>
      <c r="N70" s="41"/>
      <c r="O70" s="41"/>
      <c r="P70" s="41"/>
      <c r="Q70" s="41"/>
      <c r="R70" s="76"/>
      <c r="S70" s="63"/>
      <c r="T70" s="41"/>
      <c r="U70" s="41"/>
      <c r="V70" s="41"/>
      <c r="W70" s="41"/>
      <c r="X70" s="41"/>
      <c r="Y70" s="41"/>
      <c r="Z70" s="41"/>
      <c r="AA70" s="41"/>
      <c r="AB70" s="41"/>
      <c r="AC70" s="41"/>
      <c r="AD70" s="76"/>
      <c r="AE70" s="150"/>
      <c r="AF70" s="41"/>
      <c r="AG70" s="41"/>
      <c r="AH70" s="41"/>
      <c r="AI70" s="41"/>
      <c r="AJ70" s="41"/>
      <c r="AK70" s="41"/>
      <c r="AL70" s="41"/>
      <c r="AM70" s="41"/>
      <c r="AN70" s="41"/>
      <c r="AO70" s="52"/>
      <c r="AP70" s="30">
        <f t="shared" si="47"/>
        <v>33389.940613658859</v>
      </c>
      <c r="AQ70" s="57">
        <f t="shared" si="48"/>
        <v>5</v>
      </c>
      <c r="AR70" s="30">
        <f t="shared" ref="AR70:AR77" si="50">AP70/AQ70</f>
        <v>6677.9881227317719</v>
      </c>
    </row>
    <row r="71" spans="1:50" x14ac:dyDescent="0.2">
      <c r="A71" s="35">
        <v>5391.6859122401847</v>
      </c>
      <c r="C71" s="53"/>
      <c r="D71" s="58" t="s">
        <v>9</v>
      </c>
      <c r="E71" s="71">
        <f t="shared" si="46"/>
        <v>5391.6859122401847</v>
      </c>
      <c r="F71" s="54"/>
      <c r="G71" s="63">
        <v>1</v>
      </c>
      <c r="H71" s="41">
        <v>1</v>
      </c>
      <c r="I71" s="41">
        <v>0.5</v>
      </c>
      <c r="J71" s="41">
        <v>0.25</v>
      </c>
      <c r="K71" s="41">
        <v>0.1</v>
      </c>
      <c r="L71" s="41">
        <v>0.1</v>
      </c>
      <c r="M71" s="41">
        <v>0.05</v>
      </c>
      <c r="N71" s="41">
        <v>0.05</v>
      </c>
      <c r="O71" s="41"/>
      <c r="P71" s="41"/>
      <c r="Q71" s="41"/>
      <c r="R71" s="76"/>
      <c r="S71" s="63"/>
      <c r="T71" s="41"/>
      <c r="U71" s="41"/>
      <c r="V71" s="41"/>
      <c r="W71" s="41"/>
      <c r="X71" s="41"/>
      <c r="Y71" s="41"/>
      <c r="Z71" s="41"/>
      <c r="AA71" s="41"/>
      <c r="AB71" s="41"/>
      <c r="AC71" s="41"/>
      <c r="AD71" s="76"/>
      <c r="AE71" s="150"/>
      <c r="AF71" s="41"/>
      <c r="AG71" s="41"/>
      <c r="AH71" s="41"/>
      <c r="AI71" s="41"/>
      <c r="AJ71" s="41"/>
      <c r="AK71" s="41"/>
      <c r="AL71" s="41"/>
      <c r="AM71" s="41"/>
      <c r="AN71" s="41"/>
      <c r="AO71" s="52"/>
      <c r="AP71" s="30">
        <f t="shared" si="47"/>
        <v>70365.352358957432</v>
      </c>
      <c r="AQ71" s="57">
        <f t="shared" si="48"/>
        <v>8</v>
      </c>
      <c r="AR71" s="30">
        <f t="shared" si="50"/>
        <v>8795.6690448696791</v>
      </c>
    </row>
    <row r="72" spans="1:50" x14ac:dyDescent="0.2">
      <c r="A72" s="35">
        <v>3802.7713625866049</v>
      </c>
      <c r="C72" s="53"/>
      <c r="D72" s="58" t="s">
        <v>28</v>
      </c>
      <c r="E72" s="71">
        <f t="shared" si="46"/>
        <v>3802.7713625866049</v>
      </c>
      <c r="F72" s="54"/>
      <c r="G72" s="63">
        <v>1</v>
      </c>
      <c r="H72" s="41">
        <v>1</v>
      </c>
      <c r="I72" s="41">
        <v>0.5</v>
      </c>
      <c r="J72" s="41">
        <v>0.25</v>
      </c>
      <c r="K72" s="41">
        <v>0.1</v>
      </c>
      <c r="L72" s="41">
        <v>0.1</v>
      </c>
      <c r="M72" s="41">
        <v>0.05</v>
      </c>
      <c r="N72" s="41">
        <v>0.05</v>
      </c>
      <c r="O72" s="41"/>
      <c r="P72" s="41"/>
      <c r="Q72" s="41"/>
      <c r="R72" s="76"/>
      <c r="S72" s="63"/>
      <c r="T72" s="41"/>
      <c r="U72" s="41"/>
      <c r="V72" s="41"/>
      <c r="W72" s="41"/>
      <c r="X72" s="41"/>
      <c r="Y72" s="41"/>
      <c r="Z72" s="41"/>
      <c r="AA72" s="41"/>
      <c r="AB72" s="41"/>
      <c r="AC72" s="41"/>
      <c r="AD72" s="76"/>
      <c r="AE72" s="150"/>
      <c r="AF72" s="41"/>
      <c r="AG72" s="41"/>
      <c r="AH72" s="41"/>
      <c r="AI72" s="41"/>
      <c r="AJ72" s="41"/>
      <c r="AK72" s="41"/>
      <c r="AL72" s="41"/>
      <c r="AM72" s="41"/>
      <c r="AN72" s="41"/>
      <c r="AO72" s="52"/>
      <c r="AP72" s="30">
        <f t="shared" si="47"/>
        <v>49628.882547014182</v>
      </c>
      <c r="AQ72" s="57">
        <f t="shared" si="48"/>
        <v>8</v>
      </c>
      <c r="AR72" s="30">
        <f t="shared" si="50"/>
        <v>6203.6103183767727</v>
      </c>
    </row>
    <row r="73" spans="1:50" x14ac:dyDescent="0.2">
      <c r="A73" s="35">
        <v>3004.1570438799076</v>
      </c>
      <c r="C73" s="53"/>
      <c r="D73" s="58" t="s">
        <v>10</v>
      </c>
      <c r="E73" s="71">
        <f t="shared" si="46"/>
        <v>3004.1570438799076</v>
      </c>
      <c r="F73" s="54"/>
      <c r="G73" s="63">
        <v>1</v>
      </c>
      <c r="H73" s="41">
        <v>1</v>
      </c>
      <c r="I73" s="41">
        <v>0.5</v>
      </c>
      <c r="J73" s="41">
        <v>0.25</v>
      </c>
      <c r="K73" s="41"/>
      <c r="L73" s="41"/>
      <c r="M73" s="41"/>
      <c r="N73" s="41"/>
      <c r="O73" s="41"/>
      <c r="P73" s="41"/>
      <c r="Q73" s="41"/>
      <c r="R73" s="76"/>
      <c r="S73" s="63"/>
      <c r="T73" s="41"/>
      <c r="U73" s="41"/>
      <c r="V73" s="41"/>
      <c r="W73" s="41"/>
      <c r="X73" s="41"/>
      <c r="Y73" s="41"/>
      <c r="Z73" s="41"/>
      <c r="AA73" s="41"/>
      <c r="AB73" s="41"/>
      <c r="AC73" s="41"/>
      <c r="AD73" s="76"/>
      <c r="AE73" s="150"/>
      <c r="AF73" s="41"/>
      <c r="AG73" s="41"/>
      <c r="AH73" s="41"/>
      <c r="AI73" s="41"/>
      <c r="AJ73" s="41"/>
      <c r="AK73" s="41"/>
      <c r="AL73" s="41"/>
      <c r="AM73" s="41"/>
      <c r="AN73" s="41"/>
      <c r="AO73" s="52"/>
      <c r="AP73" s="30">
        <f t="shared" si="47"/>
        <v>35191.5539425932</v>
      </c>
      <c r="AQ73" s="57">
        <f t="shared" si="48"/>
        <v>4</v>
      </c>
      <c r="AR73" s="30">
        <f t="shared" si="50"/>
        <v>8797.8884856483</v>
      </c>
    </row>
    <row r="74" spans="1:50" x14ac:dyDescent="0.2">
      <c r="A74" s="35">
        <v>5057.7367205542723</v>
      </c>
      <c r="C74" s="53"/>
      <c r="D74" s="58" t="s">
        <v>29</v>
      </c>
      <c r="E74" s="71">
        <f t="shared" si="46"/>
        <v>5057.7367205542723</v>
      </c>
      <c r="F74" s="54"/>
      <c r="G74" s="63">
        <v>1</v>
      </c>
      <c r="H74" s="41">
        <v>1</v>
      </c>
      <c r="I74" s="41">
        <v>0.5</v>
      </c>
      <c r="J74" s="41">
        <v>0.25</v>
      </c>
      <c r="K74" s="41">
        <v>0.1</v>
      </c>
      <c r="L74" s="41"/>
      <c r="M74" s="41"/>
      <c r="N74" s="41"/>
      <c r="O74" s="41"/>
      <c r="P74" s="41"/>
      <c r="Q74" s="41"/>
      <c r="R74" s="76"/>
      <c r="S74" s="63"/>
      <c r="T74" s="41"/>
      <c r="U74" s="41"/>
      <c r="V74" s="41"/>
      <c r="W74" s="41"/>
      <c r="X74" s="41"/>
      <c r="Y74" s="41"/>
      <c r="Z74" s="41"/>
      <c r="AA74" s="41"/>
      <c r="AB74" s="41"/>
      <c r="AC74" s="41"/>
      <c r="AD74" s="76"/>
      <c r="AE74" s="150"/>
      <c r="AF74" s="41"/>
      <c r="AG74" s="41"/>
      <c r="AH74" s="41"/>
      <c r="AI74" s="41"/>
      <c r="AJ74" s="41"/>
      <c r="AK74" s="41"/>
      <c r="AL74" s="41"/>
      <c r="AM74" s="41"/>
      <c r="AN74" s="41"/>
      <c r="AO74" s="52"/>
      <c r="AP74" s="30">
        <f t="shared" si="47"/>
        <v>61487.627845595511</v>
      </c>
      <c r="AQ74" s="57">
        <f t="shared" si="48"/>
        <v>5</v>
      </c>
      <c r="AR74" s="30">
        <f t="shared" si="50"/>
        <v>12297.525569119101</v>
      </c>
    </row>
    <row r="75" spans="1:50" x14ac:dyDescent="0.2">
      <c r="A75" s="35">
        <v>4183.1408775981527</v>
      </c>
      <c r="C75" s="53"/>
      <c r="D75" s="58" t="s">
        <v>30</v>
      </c>
      <c r="E75" s="71">
        <f t="shared" si="46"/>
        <v>4183.1408775981527</v>
      </c>
      <c r="F75" s="54"/>
      <c r="G75" s="63">
        <v>1</v>
      </c>
      <c r="H75" s="41">
        <v>0.75</v>
      </c>
      <c r="I75" s="41">
        <v>0.75</v>
      </c>
      <c r="J75" s="41">
        <v>0.5</v>
      </c>
      <c r="K75" s="41">
        <v>0.5</v>
      </c>
      <c r="L75" s="41">
        <v>0.5</v>
      </c>
      <c r="M75" s="41">
        <v>0.25</v>
      </c>
      <c r="N75" s="41">
        <v>0.25</v>
      </c>
      <c r="O75" s="41">
        <v>0.25</v>
      </c>
      <c r="P75" s="41">
        <v>0.25</v>
      </c>
      <c r="Q75" s="41">
        <v>0.25</v>
      </c>
      <c r="R75" s="76">
        <v>0.5</v>
      </c>
      <c r="S75" s="63">
        <v>0.1</v>
      </c>
      <c r="T75" s="41">
        <v>0.1</v>
      </c>
      <c r="U75" s="41">
        <v>0.1</v>
      </c>
      <c r="V75" s="41">
        <v>0.1</v>
      </c>
      <c r="W75" s="41">
        <v>0.1</v>
      </c>
      <c r="X75" s="41">
        <v>0.1</v>
      </c>
      <c r="Y75" s="41">
        <v>0.1</v>
      </c>
      <c r="Z75" s="41">
        <v>0.1</v>
      </c>
      <c r="AA75" s="41">
        <v>0.1</v>
      </c>
      <c r="AB75" s="41">
        <v>0.1</v>
      </c>
      <c r="AC75" s="41">
        <v>0.1</v>
      </c>
      <c r="AD75" s="76">
        <v>0.1</v>
      </c>
      <c r="AE75" s="150"/>
      <c r="AF75" s="41">
        <v>0.1</v>
      </c>
      <c r="AG75" s="41">
        <v>0.1</v>
      </c>
      <c r="AH75" s="41">
        <v>0.1</v>
      </c>
      <c r="AI75" s="41">
        <v>0.1</v>
      </c>
      <c r="AJ75" s="41">
        <v>0.1</v>
      </c>
      <c r="AK75" s="41">
        <v>0.1</v>
      </c>
      <c r="AL75" s="41">
        <v>0.1</v>
      </c>
      <c r="AM75" s="41">
        <v>0.1</v>
      </c>
      <c r="AN75" s="41">
        <v>0.1</v>
      </c>
      <c r="AO75" s="52"/>
      <c r="AP75" s="30">
        <f t="shared" si="47"/>
        <v>147414.93031177827</v>
      </c>
      <c r="AQ75" s="57">
        <f t="shared" si="48"/>
        <v>33</v>
      </c>
      <c r="AR75" s="30">
        <f t="shared" si="50"/>
        <v>4467.1191003569174</v>
      </c>
    </row>
    <row r="76" spans="1:50" x14ac:dyDescent="0.2">
      <c r="A76" s="35">
        <v>4800</v>
      </c>
      <c r="C76" s="53"/>
      <c r="D76" s="58" t="s">
        <v>31</v>
      </c>
      <c r="E76" s="71">
        <f t="shared" si="46"/>
        <v>4800</v>
      </c>
      <c r="F76" s="54"/>
      <c r="G76" s="63">
        <v>1</v>
      </c>
      <c r="H76" s="41">
        <v>1</v>
      </c>
      <c r="I76" s="41">
        <v>1</v>
      </c>
      <c r="J76" s="41">
        <v>1</v>
      </c>
      <c r="K76" s="41">
        <v>0.5</v>
      </c>
      <c r="L76" s="41">
        <v>0.5</v>
      </c>
      <c r="M76" s="41">
        <v>0.25</v>
      </c>
      <c r="N76" s="41">
        <v>0.25</v>
      </c>
      <c r="O76" s="41">
        <v>0.25</v>
      </c>
      <c r="P76" s="41">
        <v>0.25</v>
      </c>
      <c r="Q76" s="41">
        <v>0.25</v>
      </c>
      <c r="R76" s="76">
        <v>0.5</v>
      </c>
      <c r="S76" s="63">
        <v>0.1</v>
      </c>
      <c r="T76" s="41">
        <v>0.1</v>
      </c>
      <c r="U76" s="41">
        <v>0.1</v>
      </c>
      <c r="V76" s="41">
        <v>0.1</v>
      </c>
      <c r="W76" s="41">
        <v>0.1</v>
      </c>
      <c r="X76" s="41">
        <v>0.1</v>
      </c>
      <c r="Y76" s="41">
        <v>0.1</v>
      </c>
      <c r="Z76" s="41">
        <v>0.1</v>
      </c>
      <c r="AA76" s="41">
        <v>0.1</v>
      </c>
      <c r="AB76" s="41">
        <v>0.1</v>
      </c>
      <c r="AC76" s="41">
        <v>0.1</v>
      </c>
      <c r="AD76" s="76">
        <v>0.1</v>
      </c>
      <c r="AE76" s="150"/>
      <c r="AF76" s="41">
        <v>0.1</v>
      </c>
      <c r="AG76" s="41">
        <v>0.1</v>
      </c>
      <c r="AH76" s="41">
        <v>0.1</v>
      </c>
      <c r="AI76" s="41">
        <v>0.1</v>
      </c>
      <c r="AJ76" s="41">
        <v>0.1</v>
      </c>
      <c r="AK76" s="41">
        <v>0.1</v>
      </c>
      <c r="AL76" s="41">
        <v>0.1</v>
      </c>
      <c r="AM76" s="41">
        <v>0.1</v>
      </c>
      <c r="AN76" s="41">
        <v>0.1</v>
      </c>
      <c r="AO76" s="52"/>
      <c r="AP76" s="30">
        <f t="shared" si="47"/>
        <v>189553.19999999998</v>
      </c>
      <c r="AQ76" s="57">
        <f t="shared" si="48"/>
        <v>33</v>
      </c>
      <c r="AR76" s="30">
        <f t="shared" si="50"/>
        <v>5744.0363636363627</v>
      </c>
    </row>
    <row r="77" spans="1:50" x14ac:dyDescent="0.2">
      <c r="A77" s="35">
        <v>4800</v>
      </c>
      <c r="C77" s="53"/>
      <c r="D77" s="58" t="s">
        <v>31</v>
      </c>
      <c r="E77" s="71">
        <f t="shared" si="46"/>
        <v>4800</v>
      </c>
      <c r="F77" s="54"/>
      <c r="G77" s="63">
        <v>1</v>
      </c>
      <c r="H77" s="41">
        <v>1</v>
      </c>
      <c r="I77" s="41">
        <v>1</v>
      </c>
      <c r="J77" s="41">
        <v>1</v>
      </c>
      <c r="K77" s="41"/>
      <c r="L77" s="41"/>
      <c r="M77" s="41"/>
      <c r="N77" s="41"/>
      <c r="O77" s="41"/>
      <c r="P77" s="41"/>
      <c r="Q77" s="41"/>
      <c r="R77" s="76"/>
      <c r="S77" s="63"/>
      <c r="T77" s="41"/>
      <c r="U77" s="41"/>
      <c r="V77" s="41"/>
      <c r="W77" s="41"/>
      <c r="X77" s="41"/>
      <c r="Y77" s="41"/>
      <c r="Z77" s="41"/>
      <c r="AA77" s="41"/>
      <c r="AB77" s="41"/>
      <c r="AC77" s="41"/>
      <c r="AD77" s="76"/>
      <c r="AE77" s="150"/>
      <c r="AF77" s="41"/>
      <c r="AG77" s="41"/>
      <c r="AH77" s="41"/>
      <c r="AI77" s="41"/>
      <c r="AJ77" s="41"/>
      <c r="AK77" s="41"/>
      <c r="AL77" s="41"/>
      <c r="AM77" s="41"/>
      <c r="AN77" s="41"/>
      <c r="AO77" s="52"/>
      <c r="AP77" s="30">
        <f t="shared" si="47"/>
        <v>82285.71428571429</v>
      </c>
      <c r="AQ77" s="57">
        <f t="shared" si="48"/>
        <v>4</v>
      </c>
      <c r="AR77" s="30">
        <f t="shared" si="50"/>
        <v>20571.428571428572</v>
      </c>
    </row>
    <row r="78" spans="1:50" x14ac:dyDescent="0.2">
      <c r="A78" s="35">
        <v>5800</v>
      </c>
      <c r="C78" s="53"/>
      <c r="D78" s="136" t="s">
        <v>42</v>
      </c>
      <c r="E78" s="71">
        <f t="shared" si="46"/>
        <v>5800</v>
      </c>
      <c r="F78" s="54"/>
      <c r="G78" s="63"/>
      <c r="H78" s="41"/>
      <c r="I78" s="41"/>
      <c r="J78" s="41"/>
      <c r="K78" s="41"/>
      <c r="L78" s="41"/>
      <c r="M78" s="41"/>
      <c r="N78" s="41"/>
      <c r="O78" s="41"/>
      <c r="P78" s="41"/>
      <c r="Q78" s="41"/>
      <c r="R78" s="76"/>
      <c r="S78" s="63"/>
      <c r="T78" s="41"/>
      <c r="U78" s="41"/>
      <c r="V78" s="41">
        <v>0.15</v>
      </c>
      <c r="W78" s="41">
        <v>0.15</v>
      </c>
      <c r="X78" s="41">
        <v>0.15</v>
      </c>
      <c r="Y78" s="41">
        <v>0.15</v>
      </c>
      <c r="Z78" s="41"/>
      <c r="AA78" s="41"/>
      <c r="AB78" s="41"/>
      <c r="AC78" s="41"/>
      <c r="AD78" s="76"/>
      <c r="AE78" s="150"/>
      <c r="AF78" s="41"/>
      <c r="AG78" s="41"/>
      <c r="AH78" s="41"/>
      <c r="AI78" s="41"/>
      <c r="AJ78" s="41"/>
      <c r="AK78" s="41"/>
      <c r="AL78" s="41"/>
      <c r="AM78" s="41"/>
      <c r="AN78" s="41"/>
      <c r="AO78" s="52"/>
      <c r="AP78" s="30">
        <f t="shared" si="47"/>
        <v>16123.274999999998</v>
      </c>
      <c r="AQ78" s="57">
        <f t="shared" si="48"/>
        <v>4</v>
      </c>
      <c r="AR78" s="30">
        <f t="shared" ref="AR78:AR79" si="51">AP78/AQ78</f>
        <v>4030.8187499999995</v>
      </c>
    </row>
    <row r="79" spans="1:50" x14ac:dyDescent="0.2">
      <c r="A79" s="35">
        <v>5800</v>
      </c>
      <c r="C79" s="53"/>
      <c r="D79" s="136" t="s">
        <v>43</v>
      </c>
      <c r="E79" s="71">
        <f t="shared" si="46"/>
        <v>5800</v>
      </c>
      <c r="F79" s="54"/>
      <c r="G79" s="63"/>
      <c r="H79" s="41"/>
      <c r="I79" s="41"/>
      <c r="J79" s="41"/>
      <c r="K79" s="41"/>
      <c r="L79" s="41"/>
      <c r="M79" s="41"/>
      <c r="N79" s="41"/>
      <c r="O79" s="41"/>
      <c r="P79" s="41"/>
      <c r="Q79" s="41"/>
      <c r="R79" s="76"/>
      <c r="S79" s="63"/>
      <c r="T79" s="41"/>
      <c r="U79" s="41"/>
      <c r="V79" s="41">
        <v>0.15</v>
      </c>
      <c r="W79" s="41">
        <v>0.15</v>
      </c>
      <c r="X79" s="41">
        <v>0.15</v>
      </c>
      <c r="Y79" s="41">
        <v>0.15</v>
      </c>
      <c r="Z79" s="41"/>
      <c r="AA79" s="41"/>
      <c r="AB79" s="41"/>
      <c r="AC79" s="41"/>
      <c r="AD79" s="76"/>
      <c r="AE79" s="150"/>
      <c r="AF79" s="41"/>
      <c r="AG79" s="41"/>
      <c r="AH79" s="41"/>
      <c r="AI79" s="41"/>
      <c r="AJ79" s="41"/>
      <c r="AK79" s="41"/>
      <c r="AL79" s="41"/>
      <c r="AM79" s="41"/>
      <c r="AN79" s="41"/>
      <c r="AO79" s="52"/>
      <c r="AP79" s="30">
        <f t="shared" si="47"/>
        <v>16123.274999999998</v>
      </c>
      <c r="AQ79" s="57">
        <f t="shared" si="48"/>
        <v>4</v>
      </c>
      <c r="AR79" s="30">
        <f t="shared" si="51"/>
        <v>4030.8187499999995</v>
      </c>
    </row>
    <row r="80" spans="1:50" ht="16" thickBot="1" x14ac:dyDescent="0.25">
      <c r="A80" s="35"/>
      <c r="C80" s="53"/>
      <c r="D80" s="58"/>
      <c r="E80" s="71"/>
      <c r="F80" s="54"/>
      <c r="G80" s="63"/>
      <c r="H80" s="41"/>
      <c r="I80" s="41"/>
      <c r="J80" s="41"/>
      <c r="K80" s="41"/>
      <c r="L80" s="41"/>
      <c r="M80" s="41"/>
      <c r="N80" s="41"/>
      <c r="O80" s="41"/>
      <c r="P80" s="41"/>
      <c r="Q80" s="41"/>
      <c r="R80" s="76"/>
      <c r="S80" s="63"/>
      <c r="T80" s="41"/>
      <c r="U80" s="41"/>
      <c r="V80" s="41"/>
      <c r="W80" s="41"/>
      <c r="X80" s="41"/>
      <c r="Y80" s="41"/>
      <c r="Z80" s="41"/>
      <c r="AA80" s="41"/>
      <c r="AB80" s="41"/>
      <c r="AC80" s="41"/>
      <c r="AD80" s="76"/>
      <c r="AE80" s="150"/>
      <c r="AF80" s="41"/>
      <c r="AG80" s="41"/>
      <c r="AH80" s="41"/>
      <c r="AI80" s="41"/>
      <c r="AJ80" s="41"/>
      <c r="AK80" s="41"/>
      <c r="AL80" s="41"/>
      <c r="AM80" s="41"/>
      <c r="AN80" s="41"/>
      <c r="AO80" s="52"/>
      <c r="AP80" s="56"/>
      <c r="AQ80" s="57"/>
      <c r="AR80" s="56"/>
    </row>
    <row r="81" spans="1:45" ht="16" thickBot="1" x14ac:dyDescent="0.25">
      <c r="A81"/>
      <c r="C81" s="327" t="s">
        <v>36</v>
      </c>
      <c r="D81" s="328"/>
      <c r="E81" s="329"/>
      <c r="F81" s="20"/>
      <c r="G81" s="98">
        <f t="shared" ref="G81:I81" si="52">SUMPRODUCT(($A$67:$A$80),(G67:G80))*(G64)*(G65)</f>
        <v>149399.34015176512</v>
      </c>
      <c r="H81" s="98">
        <f t="shared" si="52"/>
        <v>130758.19861431872</v>
      </c>
      <c r="I81" s="98">
        <f t="shared" si="52"/>
        <v>100588.1474760805</v>
      </c>
      <c r="J81" s="98">
        <f t="shared" ref="J81:AD81" si="53">SUMPRODUCT(($A$67:$A$80),(J67:J80))*(J64)*(J65)</f>
        <v>70906.400527878592</v>
      </c>
      <c r="K81" s="98">
        <f t="shared" si="53"/>
        <v>35832.461233916205</v>
      </c>
      <c r="L81" s="98">
        <f t="shared" si="53"/>
        <v>30198.251402177499</v>
      </c>
      <c r="M81" s="98">
        <f t="shared" si="53"/>
        <v>36647.777598152425</v>
      </c>
      <c r="N81" s="98">
        <f t="shared" si="53"/>
        <v>36647.777598152425</v>
      </c>
      <c r="O81" s="98">
        <f t="shared" si="53"/>
        <v>40738.328521939962</v>
      </c>
      <c r="P81" s="98">
        <f t="shared" si="53"/>
        <v>30690.456408775983</v>
      </c>
      <c r="Q81" s="98">
        <f t="shared" si="53"/>
        <v>22358.951501154737</v>
      </c>
      <c r="R81" s="99">
        <f t="shared" si="53"/>
        <v>38056.416166281764</v>
      </c>
      <c r="S81" s="11">
        <f t="shared" si="53"/>
        <v>16838.509122401847</v>
      </c>
      <c r="T81" s="9">
        <f t="shared" si="53"/>
        <v>15752.153695150117</v>
      </c>
      <c r="U81" s="9">
        <f t="shared" si="53"/>
        <v>16838.509122401847</v>
      </c>
      <c r="V81" s="9">
        <f t="shared" si="53"/>
        <v>21900.637413394918</v>
      </c>
      <c r="W81" s="9">
        <f t="shared" si="53"/>
        <v>25636.835334872987</v>
      </c>
      <c r="X81" s="9">
        <f t="shared" si="53"/>
        <v>24809.840646651272</v>
      </c>
      <c r="Y81" s="9">
        <f t="shared" si="53"/>
        <v>26918.677101616635</v>
      </c>
      <c r="Z81" s="9">
        <f t="shared" si="53"/>
        <v>18423.127101616632</v>
      </c>
      <c r="AA81" s="9">
        <f t="shared" si="53"/>
        <v>17828.832678983836</v>
      </c>
      <c r="AB81" s="9">
        <f t="shared" si="53"/>
        <v>18423.127101616632</v>
      </c>
      <c r="AC81" s="9">
        <f t="shared" si="53"/>
        <v>17828.832678983836</v>
      </c>
      <c r="AD81" s="10">
        <f t="shared" si="53"/>
        <v>18423.127101616632</v>
      </c>
      <c r="AE81" s="138"/>
      <c r="AF81" s="9">
        <f t="shared" ref="AF81:AN81" si="54">SUMPRODUCT(($A$67:$A$80),(AF67:AF80))*(AF64)*(AF65)</f>
        <v>18423.127101616632</v>
      </c>
      <c r="AG81" s="9">
        <f t="shared" si="54"/>
        <v>16640.243833718247</v>
      </c>
      <c r="AH81" s="9">
        <f t="shared" si="54"/>
        <v>18423.127101616632</v>
      </c>
      <c r="AI81" s="9">
        <f t="shared" si="54"/>
        <v>17828.832678983836</v>
      </c>
      <c r="AJ81" s="9">
        <f t="shared" si="54"/>
        <v>18423.127101616632</v>
      </c>
      <c r="AK81" s="9">
        <f t="shared" si="54"/>
        <v>17828.832678983836</v>
      </c>
      <c r="AL81" s="9">
        <f t="shared" si="54"/>
        <v>26889.957176674365</v>
      </c>
      <c r="AM81" s="9">
        <f t="shared" si="54"/>
        <v>29545.129460161668</v>
      </c>
      <c r="AN81" s="9">
        <f t="shared" si="54"/>
        <v>20883.496073903007</v>
      </c>
      <c r="AO81" s="14"/>
      <c r="AP81" s="19">
        <f>SUM(G81:AN81)</f>
        <v>1147330.5895071756</v>
      </c>
      <c r="AQ81" s="106">
        <f>COUNT(G81:AN81)</f>
        <v>33</v>
      </c>
      <c r="AR81" s="18">
        <f>AP81/AQ81</f>
        <v>34767.593621429565</v>
      </c>
      <c r="AS81" s="49"/>
    </row>
    <row r="82" spans="1:45" customFormat="1" ht="6" customHeight="1" thickBot="1" x14ac:dyDescent="0.25"/>
    <row r="83" spans="1:45" x14ac:dyDescent="0.2">
      <c r="A83"/>
      <c r="C83" s="86" t="s">
        <v>33</v>
      </c>
      <c r="D83" s="87"/>
      <c r="E83" s="341" t="s">
        <v>61</v>
      </c>
      <c r="F83" s="342"/>
      <c r="G83" s="90"/>
      <c r="H83" s="91"/>
      <c r="I83" s="91"/>
      <c r="J83" s="91"/>
      <c r="K83" s="91"/>
      <c r="L83" s="91"/>
      <c r="M83" s="91"/>
      <c r="N83" s="91"/>
      <c r="O83" s="91"/>
      <c r="P83" s="91"/>
      <c r="Q83" s="91"/>
      <c r="R83" s="92"/>
      <c r="S83" s="90"/>
      <c r="T83" s="91"/>
      <c r="U83" s="91"/>
      <c r="V83" s="91"/>
      <c r="W83" s="91"/>
      <c r="X83" s="91"/>
      <c r="Y83" s="91"/>
      <c r="Z83" s="91"/>
      <c r="AA83" s="91"/>
      <c r="AB83" s="91"/>
      <c r="AC83" s="91"/>
      <c r="AD83" s="93"/>
      <c r="AE83" s="145"/>
      <c r="AF83" s="142"/>
      <c r="AG83" s="139"/>
      <c r="AH83" s="139"/>
      <c r="AI83" s="139"/>
      <c r="AJ83" s="139"/>
      <c r="AK83" s="139"/>
      <c r="AL83" s="139"/>
      <c r="AM83" s="139"/>
      <c r="AN83" s="140"/>
      <c r="AO83" s="94"/>
      <c r="AP83" s="95"/>
      <c r="AQ83" s="95"/>
      <c r="AR83" s="95"/>
    </row>
    <row r="84" spans="1:45" x14ac:dyDescent="0.2">
      <c r="A84" s="35">
        <f>$F$2*0.00001</f>
        <v>2500</v>
      </c>
      <c r="C84" s="53"/>
      <c r="D84" s="58" t="s">
        <v>20</v>
      </c>
      <c r="E84" s="337"/>
      <c r="F84" s="338"/>
      <c r="G84" s="77"/>
      <c r="H84" s="78"/>
      <c r="I84" s="78">
        <f>$A$84</f>
        <v>2500</v>
      </c>
      <c r="J84" s="78">
        <f>$A$84</f>
        <v>2500</v>
      </c>
      <c r="K84" s="78">
        <f>$A$84</f>
        <v>2500</v>
      </c>
      <c r="L84" s="78">
        <f>$A$84</f>
        <v>2500</v>
      </c>
      <c r="M84" s="78">
        <f>$A$84*0.8</f>
        <v>2000</v>
      </c>
      <c r="N84" s="78">
        <f>$A$84*0.8</f>
        <v>2000</v>
      </c>
      <c r="O84" s="78">
        <f>$A$84*0.8</f>
        <v>2000</v>
      </c>
      <c r="P84" s="78">
        <f>$A$84*0.6</f>
        <v>1500</v>
      </c>
      <c r="Q84" s="78">
        <f>$A$84*0.6</f>
        <v>1500</v>
      </c>
      <c r="R84" s="137">
        <f>$A$84</f>
        <v>2500</v>
      </c>
      <c r="S84" s="144">
        <f t="shared" ref="S84:AD84" si="55">$A$84*0.6</f>
        <v>1500</v>
      </c>
      <c r="T84" s="78">
        <f t="shared" si="55"/>
        <v>1500</v>
      </c>
      <c r="U84" s="78">
        <f t="shared" si="55"/>
        <v>1500</v>
      </c>
      <c r="V84" s="78">
        <f t="shared" si="55"/>
        <v>1500</v>
      </c>
      <c r="W84" s="78">
        <f t="shared" si="55"/>
        <v>1500</v>
      </c>
      <c r="X84" s="78">
        <f t="shared" si="55"/>
        <v>1500</v>
      </c>
      <c r="Y84" s="78">
        <f t="shared" si="55"/>
        <v>1500</v>
      </c>
      <c r="Z84" s="78">
        <f t="shared" si="55"/>
        <v>1500</v>
      </c>
      <c r="AA84" s="78">
        <f t="shared" si="55"/>
        <v>1500</v>
      </c>
      <c r="AB84" s="78">
        <f t="shared" si="55"/>
        <v>1500</v>
      </c>
      <c r="AC84" s="78">
        <f t="shared" si="55"/>
        <v>1500</v>
      </c>
      <c r="AD84" s="168">
        <f t="shared" si="55"/>
        <v>1500</v>
      </c>
      <c r="AE84" s="113"/>
      <c r="AF84" s="80">
        <f t="shared" ref="AF84:AN84" si="56">$A$84*0.6</f>
        <v>1500</v>
      </c>
      <c r="AG84" s="78">
        <f t="shared" si="56"/>
        <v>1500</v>
      </c>
      <c r="AH84" s="78">
        <f t="shared" si="56"/>
        <v>1500</v>
      </c>
      <c r="AI84" s="78">
        <f t="shared" si="56"/>
        <v>1500</v>
      </c>
      <c r="AJ84" s="78">
        <f t="shared" si="56"/>
        <v>1500</v>
      </c>
      <c r="AK84" s="78">
        <f t="shared" si="56"/>
        <v>1500</v>
      </c>
      <c r="AL84" s="78">
        <f t="shared" si="56"/>
        <v>1500</v>
      </c>
      <c r="AM84" s="78">
        <f t="shared" si="56"/>
        <v>1500</v>
      </c>
      <c r="AN84" s="78">
        <f t="shared" si="56"/>
        <v>1500</v>
      </c>
      <c r="AO84" s="52"/>
      <c r="AP84" s="141">
        <f t="shared" ref="AP84:AP91" si="57">SUM(G84:AO84)</f>
        <v>53000</v>
      </c>
      <c r="AQ84" s="57">
        <f t="shared" ref="AQ84:AQ91" si="58">COUNT(G84:AN84)</f>
        <v>31</v>
      </c>
      <c r="AR84" s="30">
        <f>AP84/AQ84</f>
        <v>1709.6774193548388</v>
      </c>
    </row>
    <row r="85" spans="1:45" x14ac:dyDescent="0.2">
      <c r="A85" s="35">
        <f>$F$2*0.00001</f>
        <v>2500</v>
      </c>
      <c r="C85" s="53"/>
      <c r="D85" s="58" t="s">
        <v>21</v>
      </c>
      <c r="E85" s="339"/>
      <c r="F85" s="340"/>
      <c r="G85" s="77"/>
      <c r="H85" s="78">
        <f>$A$84*2</f>
        <v>5000</v>
      </c>
      <c r="I85" s="78">
        <f t="shared" ref="I85:J85" si="59">$A$84*2</f>
        <v>5000</v>
      </c>
      <c r="J85" s="78">
        <f t="shared" si="59"/>
        <v>5000</v>
      </c>
      <c r="K85" s="78">
        <f>$A$84*4</f>
        <v>10000</v>
      </c>
      <c r="L85" s="78">
        <f>$A$84*6</f>
        <v>15000</v>
      </c>
      <c r="M85" s="78">
        <f t="shared" ref="M85:O85" si="60">$A$84*6</f>
        <v>15000</v>
      </c>
      <c r="N85" s="78">
        <f t="shared" si="60"/>
        <v>15000</v>
      </c>
      <c r="O85" s="78">
        <f t="shared" si="60"/>
        <v>15000</v>
      </c>
      <c r="P85" s="78">
        <f t="shared" ref="P85:Q85" si="61">$A$84*4</f>
        <v>10000</v>
      </c>
      <c r="Q85" s="78">
        <f t="shared" si="61"/>
        <v>10000</v>
      </c>
      <c r="R85" s="78">
        <f t="shared" ref="R85" si="62">$A$84*6</f>
        <v>15000</v>
      </c>
      <c r="S85" s="144">
        <f>$A$85*0.4</f>
        <v>1000</v>
      </c>
      <c r="T85" s="78">
        <f t="shared" ref="T85:W85" si="63">$A$85*0.4</f>
        <v>1000</v>
      </c>
      <c r="U85" s="78">
        <f t="shared" si="63"/>
        <v>1000</v>
      </c>
      <c r="V85" s="78">
        <f t="shared" si="63"/>
        <v>1000</v>
      </c>
      <c r="W85" s="78">
        <f t="shared" si="63"/>
        <v>1000</v>
      </c>
      <c r="X85" s="78">
        <f>$A$85*2</f>
        <v>5000</v>
      </c>
      <c r="Y85" s="78">
        <f>$A$85*4</f>
        <v>10000</v>
      </c>
      <c r="Z85" s="78">
        <f t="shared" ref="Z85:AC85" si="64">$A$85*4</f>
        <v>10000</v>
      </c>
      <c r="AA85" s="78">
        <f t="shared" si="64"/>
        <v>10000</v>
      </c>
      <c r="AB85" s="78">
        <f t="shared" si="64"/>
        <v>10000</v>
      </c>
      <c r="AC85" s="78">
        <f t="shared" si="64"/>
        <v>10000</v>
      </c>
      <c r="AD85" s="79">
        <f>$A$85*2</f>
        <v>5000</v>
      </c>
      <c r="AE85" s="113"/>
      <c r="AF85" s="80">
        <f t="shared" ref="AF85:AI85" si="65">$A$85*2</f>
        <v>5000</v>
      </c>
      <c r="AG85" s="78">
        <f t="shared" si="65"/>
        <v>5000</v>
      </c>
      <c r="AH85" s="78">
        <f t="shared" si="65"/>
        <v>5000</v>
      </c>
      <c r="AI85" s="78">
        <f t="shared" si="65"/>
        <v>5000</v>
      </c>
      <c r="AJ85" s="78">
        <f>$A$85*0.4</f>
        <v>1000</v>
      </c>
      <c r="AK85" s="78">
        <f t="shared" ref="AK85:AN85" si="66">$A$85*0.4</f>
        <v>1000</v>
      </c>
      <c r="AL85" s="78">
        <f t="shared" si="66"/>
        <v>1000</v>
      </c>
      <c r="AM85" s="78">
        <f t="shared" si="66"/>
        <v>1000</v>
      </c>
      <c r="AN85" s="78">
        <f t="shared" si="66"/>
        <v>1000</v>
      </c>
      <c r="AO85" s="52"/>
      <c r="AP85" s="141">
        <f t="shared" si="57"/>
        <v>210000</v>
      </c>
      <c r="AQ85" s="57">
        <f t="shared" si="58"/>
        <v>32</v>
      </c>
      <c r="AR85" s="30">
        <f t="shared" ref="AR85:AR91" si="67">AP85/AQ85</f>
        <v>6562.5</v>
      </c>
    </row>
    <row r="86" spans="1:45" x14ac:dyDescent="0.2">
      <c r="A86" s="169">
        <f>(F49*0.025*0.025)/12</f>
        <v>13020.833333333334</v>
      </c>
      <c r="C86" s="53"/>
      <c r="D86" s="58" t="s">
        <v>58</v>
      </c>
      <c r="E86" s="339" t="s">
        <v>84</v>
      </c>
      <c r="F86" s="340"/>
      <c r="G86" s="77"/>
      <c r="H86" s="78"/>
      <c r="I86" s="78"/>
      <c r="J86" s="78"/>
      <c r="K86" s="78"/>
      <c r="L86" s="78"/>
      <c r="M86" s="78"/>
      <c r="N86" s="78"/>
      <c r="O86" s="78"/>
      <c r="P86" s="78"/>
      <c r="Q86" s="78"/>
      <c r="R86" s="79"/>
      <c r="S86" s="80">
        <f>$A$86</f>
        <v>13020.833333333334</v>
      </c>
      <c r="T86" s="78">
        <f t="shared" ref="T86:AN86" si="68">$A$86</f>
        <v>13020.833333333334</v>
      </c>
      <c r="U86" s="78">
        <f t="shared" si="68"/>
        <v>13020.833333333334</v>
      </c>
      <c r="V86" s="78">
        <f t="shared" si="68"/>
        <v>13020.833333333334</v>
      </c>
      <c r="W86" s="78">
        <f t="shared" si="68"/>
        <v>13020.833333333334</v>
      </c>
      <c r="X86" s="78">
        <f t="shared" si="68"/>
        <v>13020.833333333334</v>
      </c>
      <c r="Y86" s="78">
        <f t="shared" si="68"/>
        <v>13020.833333333334</v>
      </c>
      <c r="Z86" s="78">
        <f t="shared" si="68"/>
        <v>13020.833333333334</v>
      </c>
      <c r="AA86" s="78">
        <f t="shared" si="68"/>
        <v>13020.833333333334</v>
      </c>
      <c r="AB86" s="78">
        <f t="shared" si="68"/>
        <v>13020.833333333334</v>
      </c>
      <c r="AC86" s="78">
        <f t="shared" si="68"/>
        <v>13020.833333333334</v>
      </c>
      <c r="AD86" s="79">
        <f t="shared" si="68"/>
        <v>13020.833333333334</v>
      </c>
      <c r="AE86" s="113"/>
      <c r="AF86" s="80">
        <f t="shared" si="68"/>
        <v>13020.833333333334</v>
      </c>
      <c r="AG86" s="78">
        <f t="shared" si="68"/>
        <v>13020.833333333334</v>
      </c>
      <c r="AH86" s="78">
        <f t="shared" si="68"/>
        <v>13020.833333333334</v>
      </c>
      <c r="AI86" s="78">
        <f t="shared" si="68"/>
        <v>13020.833333333334</v>
      </c>
      <c r="AJ86" s="78">
        <f t="shared" si="68"/>
        <v>13020.833333333334</v>
      </c>
      <c r="AK86" s="78">
        <f t="shared" si="68"/>
        <v>13020.833333333334</v>
      </c>
      <c r="AL86" s="78">
        <f t="shared" si="68"/>
        <v>13020.833333333334</v>
      </c>
      <c r="AM86" s="78">
        <f t="shared" si="68"/>
        <v>13020.833333333334</v>
      </c>
      <c r="AN86" s="78">
        <f t="shared" si="68"/>
        <v>13020.833333333334</v>
      </c>
      <c r="AO86" s="52"/>
      <c r="AP86" s="141">
        <f t="shared" si="57"/>
        <v>273437.50000000006</v>
      </c>
      <c r="AQ86" s="57">
        <f t="shared" si="58"/>
        <v>21</v>
      </c>
      <c r="AR86" s="30">
        <f t="shared" ref="AR86" si="69">AP86/AQ86</f>
        <v>13020.833333333336</v>
      </c>
    </row>
    <row r="87" spans="1:45" x14ac:dyDescent="0.2">
      <c r="A87" s="35">
        <f>$F$2*0.00001</f>
        <v>2500</v>
      </c>
      <c r="C87" s="53"/>
      <c r="D87" s="58" t="s">
        <v>22</v>
      </c>
      <c r="E87" s="339"/>
      <c r="F87" s="340"/>
      <c r="G87" s="77">
        <v>1000</v>
      </c>
      <c r="H87" s="78">
        <v>1000</v>
      </c>
      <c r="I87" s="78">
        <v>1000</v>
      </c>
      <c r="J87" s="78">
        <v>500</v>
      </c>
      <c r="K87" s="78">
        <v>500</v>
      </c>
      <c r="L87" s="78"/>
      <c r="M87" s="78"/>
      <c r="N87" s="78"/>
      <c r="O87" s="78"/>
      <c r="P87" s="78"/>
      <c r="Q87" s="78"/>
      <c r="R87" s="79"/>
      <c r="S87" s="80"/>
      <c r="T87" s="78"/>
      <c r="U87" s="78"/>
      <c r="V87" s="78"/>
      <c r="W87" s="78"/>
      <c r="X87" s="78"/>
      <c r="Y87" s="78"/>
      <c r="Z87" s="78"/>
      <c r="AA87" s="78"/>
      <c r="AB87" s="78"/>
      <c r="AC87" s="78"/>
      <c r="AD87" s="79"/>
      <c r="AE87" s="113"/>
      <c r="AF87" s="80"/>
      <c r="AG87" s="78"/>
      <c r="AH87" s="78"/>
      <c r="AI87" s="78"/>
      <c r="AJ87" s="78"/>
      <c r="AK87" s="78"/>
      <c r="AL87" s="78"/>
      <c r="AM87" s="78"/>
      <c r="AN87" s="78"/>
      <c r="AO87" s="52"/>
      <c r="AP87" s="141">
        <f t="shared" si="57"/>
        <v>4000</v>
      </c>
      <c r="AQ87" s="57">
        <f t="shared" si="58"/>
        <v>5</v>
      </c>
      <c r="AR87" s="30">
        <f t="shared" si="67"/>
        <v>800</v>
      </c>
    </row>
    <row r="88" spans="1:45" x14ac:dyDescent="0.2">
      <c r="A88" s="35">
        <f>$F$2*0.00001</f>
        <v>2500</v>
      </c>
      <c r="C88" s="53"/>
      <c r="D88" s="58" t="s">
        <v>19</v>
      </c>
      <c r="E88" s="339"/>
      <c r="F88" s="340"/>
      <c r="G88" s="77"/>
      <c r="H88" s="78"/>
      <c r="I88" s="78">
        <f>$A$88</f>
        <v>2500</v>
      </c>
      <c r="J88" s="78">
        <f>$A$88</f>
        <v>2500</v>
      </c>
      <c r="K88" s="78"/>
      <c r="L88" s="78"/>
      <c r="M88" s="78"/>
      <c r="N88" s="78"/>
      <c r="O88" s="78"/>
      <c r="P88" s="78"/>
      <c r="Q88" s="78"/>
      <c r="R88" s="79"/>
      <c r="S88" s="80"/>
      <c r="T88" s="78"/>
      <c r="U88" s="78"/>
      <c r="V88" s="78"/>
      <c r="W88" s="78"/>
      <c r="X88" s="78">
        <f>$A$88*2</f>
        <v>5000</v>
      </c>
      <c r="Y88" s="78">
        <f t="shared" ref="Y88:AA88" si="70">$A$88*2</f>
        <v>5000</v>
      </c>
      <c r="Z88" s="78">
        <f t="shared" si="70"/>
        <v>5000</v>
      </c>
      <c r="AA88" s="78">
        <f t="shared" si="70"/>
        <v>5000</v>
      </c>
      <c r="AB88" s="78"/>
      <c r="AC88" s="78"/>
      <c r="AD88" s="79"/>
      <c r="AE88" s="113"/>
      <c r="AF88" s="80"/>
      <c r="AG88" s="78"/>
      <c r="AH88" s="78"/>
      <c r="AI88" s="78"/>
      <c r="AJ88" s="78"/>
      <c r="AK88" s="78"/>
      <c r="AL88" s="78"/>
      <c r="AM88" s="78"/>
      <c r="AN88" s="78"/>
      <c r="AO88" s="52"/>
      <c r="AP88" s="141">
        <f t="shared" si="57"/>
        <v>25000</v>
      </c>
      <c r="AQ88" s="57">
        <f t="shared" si="58"/>
        <v>6</v>
      </c>
      <c r="AR88" s="30">
        <f t="shared" si="67"/>
        <v>4166.666666666667</v>
      </c>
    </row>
    <row r="89" spans="1:45" x14ac:dyDescent="0.2">
      <c r="A89" s="35">
        <f>$F$2*0.00001</f>
        <v>2500</v>
      </c>
      <c r="C89" s="53"/>
      <c r="D89" s="58" t="s">
        <v>23</v>
      </c>
      <c r="E89" s="339"/>
      <c r="F89" s="340"/>
      <c r="G89" s="77"/>
      <c r="H89" s="78"/>
      <c r="I89" s="78"/>
      <c r="J89" s="78"/>
      <c r="K89" s="78"/>
      <c r="L89" s="78"/>
      <c r="M89" s="78"/>
      <c r="N89" s="78"/>
      <c r="O89" s="78"/>
      <c r="P89" s="78"/>
      <c r="Q89" s="78"/>
      <c r="R89" s="79"/>
      <c r="S89" s="80"/>
      <c r="T89" s="78"/>
      <c r="U89" s="78"/>
      <c r="V89" s="78"/>
      <c r="W89" s="78">
        <f>$A$89*4</f>
        <v>10000</v>
      </c>
      <c r="X89" s="78">
        <f>$A$89*4</f>
        <v>10000</v>
      </c>
      <c r="Y89" s="78">
        <f>$A$89*4</f>
        <v>10000</v>
      </c>
      <c r="Z89" s="78">
        <f>$A$89*4</f>
        <v>10000</v>
      </c>
      <c r="AA89" s="78">
        <f>$A$89*4</f>
        <v>10000</v>
      </c>
      <c r="AB89" s="78">
        <f>$A$89*2</f>
        <v>5000</v>
      </c>
      <c r="AC89" s="78">
        <f t="shared" ref="AC89:AJ89" si="71">$A$89*2</f>
        <v>5000</v>
      </c>
      <c r="AD89" s="79">
        <f t="shared" si="71"/>
        <v>5000</v>
      </c>
      <c r="AE89" s="113"/>
      <c r="AF89" s="80">
        <f t="shared" si="71"/>
        <v>5000</v>
      </c>
      <c r="AG89" s="78">
        <f t="shared" si="71"/>
        <v>5000</v>
      </c>
      <c r="AH89" s="78">
        <f t="shared" si="71"/>
        <v>5000</v>
      </c>
      <c r="AI89" s="78">
        <f t="shared" si="71"/>
        <v>5000</v>
      </c>
      <c r="AJ89" s="78">
        <f t="shared" si="71"/>
        <v>5000</v>
      </c>
      <c r="AK89" s="78">
        <f t="shared" ref="AK89:AM89" si="72">$A$89*4</f>
        <v>10000</v>
      </c>
      <c r="AL89" s="78">
        <f t="shared" si="72"/>
        <v>10000</v>
      </c>
      <c r="AM89" s="78">
        <f t="shared" si="72"/>
        <v>10000</v>
      </c>
      <c r="AN89" s="78"/>
      <c r="AO89" s="52"/>
      <c r="AP89" s="141">
        <f t="shared" si="57"/>
        <v>120000</v>
      </c>
      <c r="AQ89" s="57">
        <f t="shared" si="58"/>
        <v>16</v>
      </c>
      <c r="AR89" s="30">
        <f t="shared" si="67"/>
        <v>7500</v>
      </c>
    </row>
    <row r="90" spans="1:45" x14ac:dyDescent="0.2">
      <c r="A90" s="35">
        <f>$F$2*0.00001</f>
        <v>2500</v>
      </c>
      <c r="C90" s="53"/>
      <c r="D90" s="58" t="s">
        <v>25</v>
      </c>
      <c r="E90" s="339"/>
      <c r="F90" s="340"/>
      <c r="G90" s="77"/>
      <c r="H90" s="78"/>
      <c r="I90" s="78"/>
      <c r="J90" s="78"/>
      <c r="K90" s="78"/>
      <c r="L90" s="78"/>
      <c r="M90" s="78"/>
      <c r="N90" s="78"/>
      <c r="O90" s="78"/>
      <c r="P90" s="81"/>
      <c r="Q90" s="81"/>
      <c r="R90" s="82"/>
      <c r="S90" s="83"/>
      <c r="T90" s="81"/>
      <c r="U90" s="81"/>
      <c r="V90" s="81"/>
      <c r="W90" s="81"/>
      <c r="X90" s="78">
        <f>$A$90*4</f>
        <v>10000</v>
      </c>
      <c r="Y90" s="78">
        <f t="shared" ref="Y90:AB90" si="73">$A$90*4</f>
        <v>10000</v>
      </c>
      <c r="Z90" s="78">
        <f t="shared" si="73"/>
        <v>10000</v>
      </c>
      <c r="AA90" s="78">
        <f t="shared" si="73"/>
        <v>10000</v>
      </c>
      <c r="AB90" s="78">
        <f t="shared" si="73"/>
        <v>10000</v>
      </c>
      <c r="AC90" s="81"/>
      <c r="AD90" s="84"/>
      <c r="AE90" s="115"/>
      <c r="AF90" s="80"/>
      <c r="AG90" s="78"/>
      <c r="AH90" s="78"/>
      <c r="AI90" s="78"/>
      <c r="AJ90" s="78"/>
      <c r="AK90" s="78"/>
      <c r="AL90" s="78"/>
      <c r="AM90" s="78"/>
      <c r="AN90" s="78"/>
      <c r="AO90" s="52"/>
      <c r="AP90" s="141">
        <f t="shared" si="57"/>
        <v>50000</v>
      </c>
      <c r="AQ90" s="57">
        <f t="shared" si="58"/>
        <v>5</v>
      </c>
      <c r="AR90" s="30">
        <f t="shared" si="67"/>
        <v>10000</v>
      </c>
    </row>
    <row r="91" spans="1:45" x14ac:dyDescent="0.2">
      <c r="A91" s="35">
        <f>$F$2*0.00001</f>
        <v>2500</v>
      </c>
      <c r="C91" s="53"/>
      <c r="D91" s="58" t="s">
        <v>44</v>
      </c>
      <c r="E91" s="339"/>
      <c r="F91" s="340"/>
      <c r="G91" s="77"/>
      <c r="H91" s="78"/>
      <c r="I91" s="78"/>
      <c r="J91" s="78"/>
      <c r="K91" s="78"/>
      <c r="L91" s="78"/>
      <c r="M91" s="78"/>
      <c r="N91" s="78"/>
      <c r="O91" s="78"/>
      <c r="P91" s="81"/>
      <c r="Q91" s="81"/>
      <c r="R91" s="82"/>
      <c r="S91" s="83"/>
      <c r="T91" s="81"/>
      <c r="U91" s="81"/>
      <c r="V91" s="81"/>
      <c r="W91" s="81"/>
      <c r="X91" s="81"/>
      <c r="Y91" s="81"/>
      <c r="Z91" s="81"/>
      <c r="AA91" s="81"/>
      <c r="AB91" s="81"/>
      <c r="AC91" s="81"/>
      <c r="AD91" s="84"/>
      <c r="AE91" s="115"/>
      <c r="AF91" s="80"/>
      <c r="AG91" s="78"/>
      <c r="AH91" s="78"/>
      <c r="AI91" s="78"/>
      <c r="AJ91" s="78"/>
      <c r="AK91" s="78"/>
      <c r="AL91" s="78"/>
      <c r="AM91" s="78"/>
      <c r="AN91" s="78">
        <f>$A$91*100</f>
        <v>250000</v>
      </c>
      <c r="AO91" s="52"/>
      <c r="AP91" s="141">
        <f t="shared" si="57"/>
        <v>250000</v>
      </c>
      <c r="AQ91" s="57">
        <f t="shared" si="58"/>
        <v>1</v>
      </c>
      <c r="AR91" s="30">
        <f t="shared" si="67"/>
        <v>250000</v>
      </c>
    </row>
    <row r="92" spans="1:45" x14ac:dyDescent="0.2">
      <c r="A92" s="35"/>
      <c r="C92" s="53"/>
      <c r="D92" s="58" t="s">
        <v>24</v>
      </c>
      <c r="E92" s="339" t="s">
        <v>60</v>
      </c>
      <c r="F92" s="340"/>
      <c r="G92" s="77"/>
      <c r="H92" s="78"/>
      <c r="I92" s="78"/>
      <c r="J92" s="78"/>
      <c r="K92" s="78"/>
      <c r="L92" s="78"/>
      <c r="M92" s="78"/>
      <c r="N92" s="78"/>
      <c r="O92" s="78"/>
      <c r="P92" s="81"/>
      <c r="Q92" s="81"/>
      <c r="R92" s="82"/>
      <c r="S92" s="83"/>
      <c r="T92" s="81"/>
      <c r="U92" s="81"/>
      <c r="V92" s="81"/>
      <c r="W92" s="81"/>
      <c r="X92" s="81"/>
      <c r="Y92" s="81"/>
      <c r="Z92" s="81"/>
      <c r="AA92" s="81"/>
      <c r="AB92" s="81"/>
      <c r="AC92" s="81"/>
      <c r="AD92" s="84"/>
      <c r="AE92" s="115"/>
      <c r="AF92" s="80"/>
      <c r="AG92" s="78"/>
      <c r="AH92" s="78"/>
      <c r="AI92" s="78"/>
      <c r="AJ92" s="78"/>
      <c r="AK92" s="78"/>
      <c r="AL92" s="78"/>
      <c r="AM92" s="78"/>
      <c r="AN92" s="78"/>
      <c r="AO92" s="52"/>
      <c r="AP92" s="141"/>
      <c r="AQ92" s="57"/>
      <c r="AR92" s="30"/>
    </row>
    <row r="93" spans="1:45" ht="16" thickBot="1" x14ac:dyDescent="0.25">
      <c r="A93" s="35"/>
      <c r="C93" s="53"/>
      <c r="D93" s="58"/>
      <c r="E93" s="339"/>
      <c r="F93" s="340"/>
      <c r="G93" s="77"/>
      <c r="H93" s="78"/>
      <c r="I93" s="78"/>
      <c r="J93" s="78"/>
      <c r="K93" s="78"/>
      <c r="L93" s="78"/>
      <c r="M93" s="78"/>
      <c r="N93" s="78"/>
      <c r="O93" s="78"/>
      <c r="P93" s="78"/>
      <c r="Q93" s="78"/>
      <c r="R93" s="79"/>
      <c r="S93" s="80"/>
      <c r="T93" s="78"/>
      <c r="U93" s="78"/>
      <c r="V93" s="78"/>
      <c r="W93" s="78"/>
      <c r="X93" s="78"/>
      <c r="Y93" s="78"/>
      <c r="Z93" s="78"/>
      <c r="AA93" s="78"/>
      <c r="AB93" s="78"/>
      <c r="AC93" s="78"/>
      <c r="AD93" s="79"/>
      <c r="AE93" s="113"/>
      <c r="AF93" s="80"/>
      <c r="AG93" s="78"/>
      <c r="AH93" s="78"/>
      <c r="AI93" s="78"/>
      <c r="AJ93" s="78"/>
      <c r="AK93" s="78"/>
      <c r="AL93" s="78"/>
      <c r="AM93" s="78"/>
      <c r="AN93" s="78"/>
      <c r="AO93" s="52"/>
      <c r="AP93" s="141"/>
      <c r="AQ93" s="57"/>
      <c r="AR93" s="56"/>
    </row>
    <row r="94" spans="1:45" ht="16" thickBot="1" x14ac:dyDescent="0.25">
      <c r="A94"/>
      <c r="C94" s="327" t="s">
        <v>38</v>
      </c>
      <c r="D94" s="328"/>
      <c r="E94" s="329"/>
      <c r="F94" s="20"/>
      <c r="G94" s="11">
        <f t="shared" ref="G94:AD94" si="74">SUM(G84:G93)</f>
        <v>1000</v>
      </c>
      <c r="H94" s="9">
        <f t="shared" si="74"/>
        <v>6000</v>
      </c>
      <c r="I94" s="9">
        <f t="shared" si="74"/>
        <v>11000</v>
      </c>
      <c r="J94" s="9">
        <f t="shared" si="74"/>
        <v>10500</v>
      </c>
      <c r="K94" s="9">
        <f t="shared" si="74"/>
        <v>13000</v>
      </c>
      <c r="L94" s="9">
        <f t="shared" si="74"/>
        <v>17500</v>
      </c>
      <c r="M94" s="9">
        <f t="shared" si="74"/>
        <v>17000</v>
      </c>
      <c r="N94" s="9">
        <f t="shared" si="74"/>
        <v>17000</v>
      </c>
      <c r="O94" s="9">
        <f t="shared" si="74"/>
        <v>17000</v>
      </c>
      <c r="P94" s="9">
        <f t="shared" si="74"/>
        <v>11500</v>
      </c>
      <c r="Q94" s="9">
        <f t="shared" si="74"/>
        <v>11500</v>
      </c>
      <c r="R94" s="10">
        <f t="shared" si="74"/>
        <v>17500</v>
      </c>
      <c r="S94" s="11">
        <f t="shared" si="74"/>
        <v>15520.833333333334</v>
      </c>
      <c r="T94" s="9">
        <f t="shared" si="74"/>
        <v>15520.833333333334</v>
      </c>
      <c r="U94" s="9">
        <f t="shared" si="74"/>
        <v>15520.833333333334</v>
      </c>
      <c r="V94" s="9">
        <f t="shared" si="74"/>
        <v>15520.833333333334</v>
      </c>
      <c r="W94" s="9">
        <f t="shared" si="74"/>
        <v>25520.833333333336</v>
      </c>
      <c r="X94" s="9">
        <f t="shared" si="74"/>
        <v>44520.833333333336</v>
      </c>
      <c r="Y94" s="9">
        <f t="shared" si="74"/>
        <v>49520.833333333336</v>
      </c>
      <c r="Z94" s="9">
        <f t="shared" si="74"/>
        <v>49520.833333333336</v>
      </c>
      <c r="AA94" s="9">
        <f t="shared" si="74"/>
        <v>49520.833333333336</v>
      </c>
      <c r="AB94" s="9">
        <f t="shared" si="74"/>
        <v>39520.833333333336</v>
      </c>
      <c r="AC94" s="9">
        <f t="shared" si="74"/>
        <v>29520.833333333336</v>
      </c>
      <c r="AD94" s="10">
        <f t="shared" si="74"/>
        <v>24520.833333333336</v>
      </c>
      <c r="AE94" s="143"/>
      <c r="AF94" s="143">
        <f t="shared" ref="AF94:AN94" si="75">SUM(AF84:AF93)</f>
        <v>24520.833333333336</v>
      </c>
      <c r="AG94" s="138">
        <f t="shared" si="75"/>
        <v>24520.833333333336</v>
      </c>
      <c r="AH94" s="138">
        <f t="shared" si="75"/>
        <v>24520.833333333336</v>
      </c>
      <c r="AI94" s="138">
        <f t="shared" si="75"/>
        <v>24520.833333333336</v>
      </c>
      <c r="AJ94" s="138">
        <f t="shared" si="75"/>
        <v>20520.833333333336</v>
      </c>
      <c r="AK94" s="138">
        <f t="shared" si="75"/>
        <v>25520.833333333336</v>
      </c>
      <c r="AL94" s="138">
        <f t="shared" si="75"/>
        <v>25520.833333333336</v>
      </c>
      <c r="AM94" s="138">
        <f t="shared" si="75"/>
        <v>25520.833333333336</v>
      </c>
      <c r="AN94" s="138">
        <f t="shared" si="75"/>
        <v>265520.83333333331</v>
      </c>
      <c r="AO94" s="14"/>
      <c r="AP94" s="19">
        <f>SUM(G94:AN94)</f>
        <v>985437.50000000023</v>
      </c>
      <c r="AQ94" s="106">
        <f>COUNT(G94:AN94)</f>
        <v>33</v>
      </c>
      <c r="AR94" s="18">
        <f t="shared" ref="AR94" si="76">AP94/AQ94</f>
        <v>29861.742424242431</v>
      </c>
      <c r="AS94" s="49"/>
    </row>
    <row r="95" spans="1:45" customFormat="1" ht="6" customHeight="1" thickBot="1" x14ac:dyDescent="0.25"/>
    <row r="96" spans="1:45" x14ac:dyDescent="0.2">
      <c r="A96" s="34"/>
      <c r="C96" s="86" t="s">
        <v>34</v>
      </c>
      <c r="D96" s="87"/>
      <c r="E96" s="96" t="s">
        <v>13</v>
      </c>
      <c r="F96" s="97" t="s">
        <v>35</v>
      </c>
      <c r="G96" s="90"/>
      <c r="H96" s="91"/>
      <c r="I96" s="91"/>
      <c r="J96" s="91"/>
      <c r="K96" s="91"/>
      <c r="L96" s="91"/>
      <c r="M96" s="91"/>
      <c r="N96" s="91"/>
      <c r="O96" s="91"/>
      <c r="P96" s="91"/>
      <c r="Q96" s="91"/>
      <c r="R96" s="92"/>
      <c r="S96" s="90"/>
      <c r="T96" s="91"/>
      <c r="U96" s="91"/>
      <c r="V96" s="91"/>
      <c r="W96" s="91"/>
      <c r="X96" s="91"/>
      <c r="Y96" s="91"/>
      <c r="Z96" s="91"/>
      <c r="AA96" s="91"/>
      <c r="AB96" s="91"/>
      <c r="AC96" s="91"/>
      <c r="AD96" s="93"/>
      <c r="AE96" s="145"/>
      <c r="AF96" s="145"/>
      <c r="AG96" s="91"/>
      <c r="AH96" s="91"/>
      <c r="AI96" s="91"/>
      <c r="AJ96" s="91"/>
      <c r="AK96" s="91"/>
      <c r="AL96" s="91"/>
      <c r="AM96" s="91"/>
      <c r="AN96" s="94"/>
      <c r="AO96" s="94"/>
      <c r="AP96" s="95"/>
      <c r="AQ96" s="95"/>
      <c r="AR96" s="95"/>
    </row>
    <row r="97" spans="1:50" x14ac:dyDescent="0.2">
      <c r="A97" s="35">
        <f>E97*F97</f>
        <v>2000</v>
      </c>
      <c r="C97" s="39"/>
      <c r="D97" s="58" t="s">
        <v>34</v>
      </c>
      <c r="E97" s="85">
        <v>4</v>
      </c>
      <c r="F97" s="40">
        <f>F48</f>
        <v>500</v>
      </c>
      <c r="G97" s="64"/>
      <c r="H97" s="41"/>
      <c r="I97" s="41"/>
      <c r="J97" s="41"/>
      <c r="K97" s="41"/>
      <c r="L97" s="41"/>
      <c r="M97" s="41"/>
      <c r="N97" s="41"/>
      <c r="O97" s="41"/>
      <c r="P97" s="41"/>
      <c r="Q97" s="41"/>
      <c r="R97" s="41"/>
      <c r="S97" s="67"/>
      <c r="T97" s="65"/>
      <c r="U97" s="65"/>
      <c r="V97" s="65"/>
      <c r="W97" s="65"/>
      <c r="X97" s="65"/>
      <c r="Y97" s="65"/>
      <c r="Z97" s="65"/>
      <c r="AA97" s="65"/>
      <c r="AB97" s="65"/>
      <c r="AC97" s="65"/>
      <c r="AD97" s="66"/>
      <c r="AE97" s="114"/>
      <c r="AF97" s="146"/>
      <c r="AG97" s="78"/>
      <c r="AH97" s="78"/>
      <c r="AI97" s="78"/>
      <c r="AJ97" s="78"/>
      <c r="AK97" s="78"/>
      <c r="AL97" s="78"/>
      <c r="AM97" s="78"/>
      <c r="AN97" s="80"/>
      <c r="AO97" s="52"/>
      <c r="AP97" s="30"/>
      <c r="AQ97" s="57"/>
      <c r="AR97" s="30"/>
    </row>
    <row r="98" spans="1:50" ht="16" thickBot="1" x14ac:dyDescent="0.25">
      <c r="A98" s="35"/>
      <c r="C98" s="39"/>
      <c r="D98" s="58"/>
      <c r="E98" s="58"/>
      <c r="F98" s="40"/>
      <c r="G98" s="64"/>
      <c r="H98" s="41"/>
      <c r="I98" s="41"/>
      <c r="J98" s="41"/>
      <c r="K98" s="41"/>
      <c r="L98" s="41"/>
      <c r="M98" s="41"/>
      <c r="N98" s="41"/>
      <c r="O98" s="41"/>
      <c r="P98" s="65"/>
      <c r="Q98" s="65"/>
      <c r="R98" s="66"/>
      <c r="S98" s="67"/>
      <c r="T98" s="65"/>
      <c r="U98" s="65"/>
      <c r="V98" s="65"/>
      <c r="W98" s="65"/>
      <c r="X98" s="65"/>
      <c r="Y98" s="65"/>
      <c r="Z98" s="65"/>
      <c r="AA98" s="55"/>
      <c r="AB98" s="55"/>
      <c r="AC98" s="55"/>
      <c r="AD98" s="51"/>
      <c r="AE98" s="151"/>
      <c r="AF98" s="113"/>
      <c r="AG98" s="78"/>
      <c r="AH98" s="78"/>
      <c r="AI98" s="78"/>
      <c r="AJ98" s="78"/>
      <c r="AK98" s="78"/>
      <c r="AL98" s="78"/>
      <c r="AM98" s="78"/>
      <c r="AN98" s="80"/>
      <c r="AO98" s="52"/>
      <c r="AP98" s="30"/>
      <c r="AQ98" s="31"/>
      <c r="AR98" s="30"/>
    </row>
    <row r="99" spans="1:50" ht="16" thickBot="1" x14ac:dyDescent="0.25">
      <c r="A99"/>
      <c r="C99" s="327" t="s">
        <v>39</v>
      </c>
      <c r="D99" s="328"/>
      <c r="E99" s="329"/>
      <c r="F99" s="20"/>
      <c r="G99" s="11">
        <f t="shared" ref="G99:AD99" si="77">SUMPRODUCT(($A$97:$A$98),(G97:G98))</f>
        <v>0</v>
      </c>
      <c r="H99" s="9">
        <f t="shared" si="77"/>
        <v>0</v>
      </c>
      <c r="I99" s="9">
        <f t="shared" si="77"/>
        <v>0</v>
      </c>
      <c r="J99" s="9">
        <f t="shared" si="77"/>
        <v>0</v>
      </c>
      <c r="K99" s="9">
        <f t="shared" si="77"/>
        <v>0</v>
      </c>
      <c r="L99" s="9">
        <f t="shared" si="77"/>
        <v>0</v>
      </c>
      <c r="M99" s="9">
        <f t="shared" si="77"/>
        <v>0</v>
      </c>
      <c r="N99" s="9">
        <f t="shared" si="77"/>
        <v>0</v>
      </c>
      <c r="O99" s="9">
        <f t="shared" si="77"/>
        <v>0</v>
      </c>
      <c r="P99" s="9">
        <f t="shared" si="77"/>
        <v>0</v>
      </c>
      <c r="Q99" s="9">
        <f t="shared" si="77"/>
        <v>0</v>
      </c>
      <c r="R99" s="10">
        <f t="shared" si="77"/>
        <v>0</v>
      </c>
      <c r="S99" s="11">
        <f t="shared" si="77"/>
        <v>0</v>
      </c>
      <c r="T99" s="9">
        <f t="shared" si="77"/>
        <v>0</v>
      </c>
      <c r="U99" s="9">
        <f t="shared" si="77"/>
        <v>0</v>
      </c>
      <c r="V99" s="9">
        <f t="shared" si="77"/>
        <v>0</v>
      </c>
      <c r="W99" s="9">
        <f t="shared" si="77"/>
        <v>0</v>
      </c>
      <c r="X99" s="9">
        <f t="shared" si="77"/>
        <v>0</v>
      </c>
      <c r="Y99" s="9">
        <f t="shared" si="77"/>
        <v>0</v>
      </c>
      <c r="Z99" s="9">
        <f t="shared" si="77"/>
        <v>0</v>
      </c>
      <c r="AA99" s="9">
        <f t="shared" si="77"/>
        <v>0</v>
      </c>
      <c r="AB99" s="9">
        <f t="shared" si="77"/>
        <v>0</v>
      </c>
      <c r="AC99" s="9">
        <f t="shared" si="77"/>
        <v>0</v>
      </c>
      <c r="AD99" s="10">
        <f t="shared" si="77"/>
        <v>0</v>
      </c>
      <c r="AE99" s="143"/>
      <c r="AF99" s="143">
        <f t="shared" ref="AF99:AN99" si="78">SUMPRODUCT(($A$97:$A$98),(AF97:AF98))</f>
        <v>0</v>
      </c>
      <c r="AG99" s="9">
        <f t="shared" si="78"/>
        <v>0</v>
      </c>
      <c r="AH99" s="9">
        <f t="shared" si="78"/>
        <v>0</v>
      </c>
      <c r="AI99" s="9">
        <f t="shared" si="78"/>
        <v>0</v>
      </c>
      <c r="AJ99" s="9">
        <f t="shared" si="78"/>
        <v>0</v>
      </c>
      <c r="AK99" s="9">
        <f t="shared" si="78"/>
        <v>0</v>
      </c>
      <c r="AL99" s="9">
        <f t="shared" si="78"/>
        <v>0</v>
      </c>
      <c r="AM99" s="9">
        <f t="shared" si="78"/>
        <v>0</v>
      </c>
      <c r="AN99" s="14">
        <f t="shared" si="78"/>
        <v>0</v>
      </c>
      <c r="AO99" s="14"/>
      <c r="AP99" s="19">
        <f>SUM(G99:AD99)</f>
        <v>0</v>
      </c>
      <c r="AQ99" s="106">
        <f>COUNT(G99:AN99)</f>
        <v>33</v>
      </c>
      <c r="AR99" s="18">
        <f t="shared" ref="AR99" si="79">AP99/AQ99</f>
        <v>0</v>
      </c>
      <c r="AS99" s="49"/>
    </row>
    <row r="100" spans="1:50" ht="6" customHeight="1" thickBot="1" x14ac:dyDescent="0.25">
      <c r="A100" s="43"/>
      <c r="C100" s="44"/>
      <c r="D100" s="44"/>
      <c r="E100" s="44"/>
      <c r="F100" s="45"/>
      <c r="G100" s="46"/>
      <c r="H100"/>
      <c r="I100"/>
      <c r="J100"/>
      <c r="K100"/>
      <c r="L100"/>
      <c r="M100"/>
      <c r="N100"/>
      <c r="O100"/>
      <c r="P100" s="46"/>
      <c r="Q100" s="46"/>
      <c r="R100" s="46"/>
      <c r="S100" s="46"/>
      <c r="T100" s="46"/>
      <c r="U100" s="46"/>
      <c r="V100" s="46"/>
      <c r="W100" s="46"/>
      <c r="X100" s="46"/>
      <c r="Y100" s="46"/>
      <c r="Z100"/>
      <c r="AA100"/>
      <c r="AB100"/>
      <c r="AC100"/>
      <c r="AD100"/>
      <c r="AE100"/>
      <c r="AF100"/>
      <c r="AG100"/>
      <c r="AH100"/>
      <c r="AI100"/>
      <c r="AJ100"/>
      <c r="AK100"/>
      <c r="AL100"/>
      <c r="AM100"/>
      <c r="AN100"/>
      <c r="AO100"/>
      <c r="AP100" s="47"/>
      <c r="AQ100" s="48"/>
      <c r="AR100" s="48"/>
    </row>
    <row r="101" spans="1:50" ht="16" thickBot="1" x14ac:dyDescent="0.25">
      <c r="A101"/>
      <c r="C101" s="319"/>
      <c r="D101" s="320"/>
      <c r="E101" s="321"/>
      <c r="F101" s="100"/>
      <c r="G101" s="102">
        <f t="shared" ref="G101:AD101" si="80">SUM(G81+G94+G99)</f>
        <v>150399.34015176512</v>
      </c>
      <c r="H101" s="101">
        <f t="shared" si="80"/>
        <v>136758.19861431874</v>
      </c>
      <c r="I101" s="101">
        <f t="shared" si="80"/>
        <v>111588.1474760805</v>
      </c>
      <c r="J101" s="101">
        <f t="shared" si="80"/>
        <v>81406.400527878592</v>
      </c>
      <c r="K101" s="101">
        <f t="shared" si="80"/>
        <v>48832.461233916205</v>
      </c>
      <c r="L101" s="101">
        <f t="shared" si="80"/>
        <v>47698.251402177499</v>
      </c>
      <c r="M101" s="101">
        <f t="shared" si="80"/>
        <v>53647.777598152425</v>
      </c>
      <c r="N101" s="101">
        <f t="shared" si="80"/>
        <v>53647.777598152425</v>
      </c>
      <c r="O101" s="101">
        <f t="shared" si="80"/>
        <v>57738.328521939962</v>
      </c>
      <c r="P101" s="101">
        <f t="shared" si="80"/>
        <v>42190.456408775979</v>
      </c>
      <c r="Q101" s="101">
        <f t="shared" si="80"/>
        <v>33858.951501154734</v>
      </c>
      <c r="R101" s="103">
        <f t="shared" si="80"/>
        <v>55556.416166281764</v>
      </c>
      <c r="S101" s="102">
        <f t="shared" si="80"/>
        <v>32359.342455735183</v>
      </c>
      <c r="T101" s="101">
        <f t="shared" si="80"/>
        <v>31272.987028483451</v>
      </c>
      <c r="U101" s="101">
        <f t="shared" si="80"/>
        <v>32359.342455735183</v>
      </c>
      <c r="V101" s="101">
        <f t="shared" si="80"/>
        <v>37421.47074672825</v>
      </c>
      <c r="W101" s="101">
        <f t="shared" si="80"/>
        <v>51157.668668206323</v>
      </c>
      <c r="X101" s="101">
        <f t="shared" si="80"/>
        <v>69330.673979984611</v>
      </c>
      <c r="Y101" s="101">
        <f t="shared" si="80"/>
        <v>76439.510434949974</v>
      </c>
      <c r="Z101" s="101">
        <f t="shared" si="80"/>
        <v>67943.960434949971</v>
      </c>
      <c r="AA101" s="101">
        <f t="shared" si="80"/>
        <v>67349.666012317175</v>
      </c>
      <c r="AB101" s="101">
        <f t="shared" si="80"/>
        <v>57943.960434949971</v>
      </c>
      <c r="AC101" s="101">
        <f t="shared" si="80"/>
        <v>47349.666012317175</v>
      </c>
      <c r="AD101" s="103">
        <f t="shared" si="80"/>
        <v>42943.960434949971</v>
      </c>
      <c r="AE101" s="152"/>
      <c r="AF101" s="101">
        <f t="shared" ref="AF101:AN101" si="81">SUM(AF81+AF94+AF99)</f>
        <v>42943.960434949971</v>
      </c>
      <c r="AG101" s="101">
        <f t="shared" si="81"/>
        <v>41161.077167051582</v>
      </c>
      <c r="AH101" s="101">
        <f t="shared" si="81"/>
        <v>42943.960434949971</v>
      </c>
      <c r="AI101" s="101">
        <f t="shared" si="81"/>
        <v>42349.666012317175</v>
      </c>
      <c r="AJ101" s="101">
        <f t="shared" si="81"/>
        <v>38943.960434949971</v>
      </c>
      <c r="AK101" s="101">
        <f t="shared" si="81"/>
        <v>43349.666012317175</v>
      </c>
      <c r="AL101" s="101">
        <f t="shared" si="81"/>
        <v>52410.790510007704</v>
      </c>
      <c r="AM101" s="101">
        <f t="shared" si="81"/>
        <v>55065.962793495004</v>
      </c>
      <c r="AN101" s="101">
        <f t="shared" si="81"/>
        <v>286404.32940723631</v>
      </c>
      <c r="AO101" s="104"/>
      <c r="AP101" s="105">
        <f>SUM(G101:AN101)</f>
        <v>2132768.0895071761</v>
      </c>
      <c r="AQ101" s="105">
        <f>COUNT(G101:AO101)</f>
        <v>33</v>
      </c>
      <c r="AR101" s="154">
        <f t="shared" ref="AR101" si="82">AP101/AQ101</f>
        <v>64629.336045672004</v>
      </c>
      <c r="AS101" s="49"/>
    </row>
    <row r="102" spans="1:50" x14ac:dyDescent="0.2">
      <c r="AP102" s="147">
        <f>SUM(AP99+AP94+AP81)</f>
        <v>2132768.0895071756</v>
      </c>
      <c r="AQ102" s="22" t="str">
        <f>IF(AP102=AP101,"OK","ERROR")</f>
        <v>OK</v>
      </c>
    </row>
    <row r="103" spans="1:50" x14ac:dyDescent="0.2">
      <c r="D103" s="170" t="s">
        <v>62</v>
      </c>
      <c r="I103" s="170" t="s">
        <v>102</v>
      </c>
      <c r="AN103" s="23"/>
      <c r="AO103" s="23"/>
      <c r="AP103" s="23"/>
      <c r="AQ103" s="23"/>
      <c r="AR103" s="23"/>
      <c r="AT103" s="22"/>
      <c r="AU103" s="22"/>
      <c r="AV103" s="22"/>
      <c r="AW103" s="22"/>
      <c r="AX103" s="22"/>
    </row>
    <row r="104" spans="1:50" x14ac:dyDescent="0.2">
      <c r="D104" s="175"/>
      <c r="E104" s="172" t="s">
        <v>40</v>
      </c>
      <c r="F104" s="300" t="s">
        <v>63</v>
      </c>
      <c r="G104" s="300"/>
      <c r="H104"/>
      <c r="I104" s="291"/>
      <c r="J104" s="291"/>
      <c r="K104" s="291"/>
      <c r="L104" s="291"/>
      <c r="M104" s="291"/>
      <c r="N104" s="291"/>
      <c r="O104" s="301" t="s">
        <v>101</v>
      </c>
      <c r="P104" s="302"/>
      <c r="Q104" s="378" t="s">
        <v>61</v>
      </c>
      <c r="R104" s="378"/>
      <c r="S104" s="378"/>
      <c r="T104" s="378"/>
      <c r="U104" s="378"/>
      <c r="V104" s="378"/>
      <c r="W104" s="378"/>
      <c r="X104" s="378"/>
      <c r="Y104" s="378"/>
      <c r="Z104" s="378"/>
      <c r="AA104" s="378"/>
      <c r="AB104" s="378"/>
      <c r="AC104" s="378"/>
      <c r="AD104" s="378"/>
      <c r="AE104" s="378"/>
      <c r="AF104" s="378"/>
      <c r="AG104" s="378"/>
      <c r="AH104" s="378"/>
      <c r="AN104" s="23"/>
      <c r="AO104" s="23"/>
      <c r="AP104" s="23"/>
      <c r="AQ104" s="23"/>
      <c r="AR104" s="23"/>
      <c r="AT104" s="22"/>
      <c r="AU104" s="22"/>
      <c r="AV104" s="22"/>
      <c r="AW104" s="22"/>
      <c r="AX104" s="22"/>
    </row>
    <row r="105" spans="1:50" x14ac:dyDescent="0.2">
      <c r="D105" s="174" t="s">
        <v>65</v>
      </c>
      <c r="E105" s="173">
        <f>AF44-E106</f>
        <v>439169.06512702076</v>
      </c>
      <c r="F105" s="298">
        <f>AP101</f>
        <v>2132768.0895071761</v>
      </c>
      <c r="G105" s="298"/>
      <c r="H105"/>
      <c r="I105" s="291" t="s">
        <v>103</v>
      </c>
      <c r="J105" s="291"/>
      <c r="K105" s="291"/>
      <c r="L105" s="291"/>
      <c r="M105" s="291"/>
      <c r="N105" s="291"/>
      <c r="O105" s="303">
        <f>F49*0.005</f>
        <v>1250000</v>
      </c>
      <c r="P105" s="304"/>
      <c r="Q105" s="291" t="s">
        <v>111</v>
      </c>
      <c r="R105" s="291"/>
      <c r="S105" s="291"/>
      <c r="T105" s="291"/>
      <c r="U105" s="291"/>
      <c r="V105" s="291"/>
      <c r="W105" s="291"/>
      <c r="X105" s="291"/>
      <c r="Y105" s="291"/>
      <c r="Z105" s="291"/>
      <c r="AA105" s="291"/>
      <c r="AB105" s="291"/>
      <c r="AC105" s="291"/>
      <c r="AD105" s="291"/>
      <c r="AE105" s="291"/>
      <c r="AF105" s="291"/>
      <c r="AG105" s="291"/>
      <c r="AH105" s="291"/>
      <c r="AN105" s="23"/>
      <c r="AO105" s="23"/>
      <c r="AP105" s="23"/>
      <c r="AQ105" s="23"/>
      <c r="AR105" s="23"/>
      <c r="AT105" s="22"/>
      <c r="AU105" s="22"/>
      <c r="AV105" s="22"/>
      <c r="AW105" s="22"/>
      <c r="AX105" s="22"/>
    </row>
    <row r="106" spans="1:50" x14ac:dyDescent="0.2">
      <c r="D106" s="174" t="s">
        <v>64</v>
      </c>
      <c r="E106" s="173">
        <f>AF42</f>
        <v>48000</v>
      </c>
      <c r="F106" s="298">
        <v>0</v>
      </c>
      <c r="G106" s="298"/>
      <c r="H106"/>
      <c r="I106" s="291" t="s">
        <v>100</v>
      </c>
      <c r="J106" s="291"/>
      <c r="K106" s="291"/>
      <c r="L106" s="291"/>
      <c r="M106" s="291"/>
      <c r="N106" s="291"/>
      <c r="O106" s="303"/>
      <c r="P106" s="304"/>
      <c r="Q106" s="291"/>
      <c r="R106" s="291"/>
      <c r="S106" s="291"/>
      <c r="T106" s="291"/>
      <c r="U106" s="291"/>
      <c r="V106" s="291"/>
      <c r="W106" s="291"/>
      <c r="X106" s="291"/>
      <c r="Y106" s="291"/>
      <c r="Z106" s="291"/>
      <c r="AA106" s="291"/>
      <c r="AB106" s="291"/>
      <c r="AC106" s="291"/>
      <c r="AD106" s="291"/>
      <c r="AE106" s="291"/>
      <c r="AF106" s="291"/>
      <c r="AG106" s="291"/>
      <c r="AH106" s="291"/>
      <c r="AN106" s="23"/>
      <c r="AO106" s="23"/>
      <c r="AP106" s="23"/>
      <c r="AQ106" s="23"/>
      <c r="AR106" s="23"/>
      <c r="AT106" s="22"/>
      <c r="AU106" s="22"/>
      <c r="AV106" s="22"/>
      <c r="AW106" s="22"/>
      <c r="AX106" s="22"/>
    </row>
    <row r="107" spans="1:50" x14ac:dyDescent="0.2">
      <c r="D107" s="179" t="s">
        <v>71</v>
      </c>
      <c r="E107" s="177">
        <f>SUM(E105:E106)</f>
        <v>487169.06512702076</v>
      </c>
      <c r="F107" s="297">
        <f>SUM(F105:G106)</f>
        <v>2132768.0895071761</v>
      </c>
      <c r="G107" s="297"/>
      <c r="H107"/>
      <c r="I107" s="299" t="s">
        <v>104</v>
      </c>
      <c r="J107" s="299"/>
      <c r="K107" s="299"/>
      <c r="L107" s="299"/>
      <c r="M107" s="299"/>
      <c r="N107" s="299"/>
      <c r="O107" s="303">
        <f>(F49*5)*0.04*0.01</f>
        <v>500000</v>
      </c>
      <c r="P107" s="304"/>
      <c r="Q107" s="291" t="s">
        <v>112</v>
      </c>
      <c r="R107" s="291"/>
      <c r="S107" s="291"/>
      <c r="T107" s="291"/>
      <c r="U107" s="291"/>
      <c r="V107" s="291"/>
      <c r="W107" s="291"/>
      <c r="X107" s="291"/>
      <c r="Y107" s="291"/>
      <c r="Z107" s="291"/>
      <c r="AA107" s="291"/>
      <c r="AB107" s="291"/>
      <c r="AC107" s="291"/>
      <c r="AD107" s="291"/>
      <c r="AE107" s="291"/>
      <c r="AF107" s="291"/>
      <c r="AG107" s="291"/>
      <c r="AH107" s="291"/>
      <c r="AN107" s="23"/>
      <c r="AO107" s="23"/>
      <c r="AP107" s="23"/>
      <c r="AQ107" s="23"/>
      <c r="AR107" s="23"/>
      <c r="AT107" s="22"/>
      <c r="AU107" s="22"/>
      <c r="AV107" s="22"/>
      <c r="AW107" s="22"/>
      <c r="AX107" s="22"/>
    </row>
    <row r="108" spans="1:50" x14ac:dyDescent="0.2">
      <c r="D108" s="174" t="s">
        <v>66</v>
      </c>
      <c r="E108" s="181">
        <f>SUM(E105:E106)/$F$1</f>
        <v>974.33813025404152</v>
      </c>
      <c r="F108" s="298">
        <f>SUM(F105:G106)/$F$1</f>
        <v>4265.5361790143525</v>
      </c>
      <c r="G108" s="298"/>
      <c r="H108"/>
      <c r="I108" s="299" t="s">
        <v>105</v>
      </c>
      <c r="J108" s="299"/>
      <c r="K108" s="299"/>
      <c r="L108" s="299"/>
      <c r="M108" s="299"/>
      <c r="N108" s="299"/>
      <c r="O108" s="303">
        <f>((F49*5)*0.04)*0.05</f>
        <v>2500000</v>
      </c>
      <c r="P108" s="304"/>
      <c r="Q108" s="291" t="s">
        <v>113</v>
      </c>
      <c r="R108" s="291"/>
      <c r="S108" s="291"/>
      <c r="T108" s="291"/>
      <c r="U108" s="291"/>
      <c r="V108" s="291"/>
      <c r="W108" s="291"/>
      <c r="X108" s="291"/>
      <c r="Y108" s="291"/>
      <c r="Z108" s="291"/>
      <c r="AA108" s="291"/>
      <c r="AB108" s="291"/>
      <c r="AC108" s="291"/>
      <c r="AD108" s="291"/>
      <c r="AE108" s="291"/>
      <c r="AF108" s="291"/>
      <c r="AG108" s="291"/>
      <c r="AH108" s="291"/>
      <c r="AN108" s="23"/>
      <c r="AO108" s="23"/>
      <c r="AP108" s="23"/>
      <c r="AQ108" s="23"/>
      <c r="AR108" s="23"/>
      <c r="AT108" s="22"/>
      <c r="AU108" s="22"/>
      <c r="AV108" s="22"/>
      <c r="AW108" s="22"/>
      <c r="AX108" s="22"/>
    </row>
    <row r="109" spans="1:50" x14ac:dyDescent="0.2">
      <c r="D109" s="174" t="s">
        <v>72</v>
      </c>
      <c r="E109" s="181">
        <f>E107-F107</f>
        <v>-1645599.0243801554</v>
      </c>
      <c r="F109" s="298">
        <v>0</v>
      </c>
      <c r="G109" s="298"/>
      <c r="H109"/>
      <c r="I109" s="291" t="s">
        <v>106</v>
      </c>
      <c r="J109" s="291"/>
      <c r="K109" s="291"/>
      <c r="L109" s="291"/>
      <c r="M109" s="291"/>
      <c r="N109" s="291"/>
      <c r="O109" s="303">
        <f>((F49*5)*0.04)*0.03</f>
        <v>1500000</v>
      </c>
      <c r="P109" s="304"/>
      <c r="Q109" s="291" t="s">
        <v>114</v>
      </c>
      <c r="R109" s="291"/>
      <c r="S109" s="291"/>
      <c r="T109" s="291"/>
      <c r="U109" s="291"/>
      <c r="V109" s="291"/>
      <c r="W109" s="291"/>
      <c r="X109" s="291"/>
      <c r="Y109" s="291"/>
      <c r="Z109" s="291"/>
      <c r="AA109" s="291"/>
      <c r="AB109" s="291"/>
      <c r="AC109" s="291"/>
      <c r="AD109" s="291"/>
      <c r="AE109" s="291"/>
      <c r="AF109" s="291"/>
      <c r="AG109" s="291"/>
      <c r="AH109" s="291"/>
      <c r="AN109" s="23"/>
      <c r="AO109" s="23"/>
      <c r="AP109" s="23"/>
      <c r="AQ109" s="23"/>
      <c r="AR109" s="23"/>
      <c r="AT109" s="22"/>
      <c r="AU109" s="22"/>
      <c r="AV109" s="22"/>
      <c r="AW109" s="22"/>
      <c r="AX109" s="22"/>
    </row>
    <row r="110" spans="1:50" x14ac:dyDescent="0.2">
      <c r="D110" s="179" t="s">
        <v>70</v>
      </c>
      <c r="E110" s="180">
        <f>F108-E108</f>
        <v>3291.1980487603109</v>
      </c>
      <c r="F110" s="297">
        <v>0</v>
      </c>
      <c r="G110" s="297"/>
      <c r="H110"/>
      <c r="I110" s="291" t="s">
        <v>107</v>
      </c>
      <c r="J110" s="291"/>
      <c r="K110" s="291"/>
      <c r="L110" s="291"/>
      <c r="M110" s="291"/>
      <c r="N110" s="291"/>
      <c r="O110" s="303">
        <f>(F49*0.04)/24*12</f>
        <v>5000000</v>
      </c>
      <c r="P110" s="304"/>
      <c r="Q110" s="291" t="s">
        <v>115</v>
      </c>
      <c r="R110" s="291"/>
      <c r="S110" s="291"/>
      <c r="T110" s="291"/>
      <c r="U110" s="291"/>
      <c r="V110" s="291"/>
      <c r="W110" s="291"/>
      <c r="X110" s="291"/>
      <c r="Y110" s="291"/>
      <c r="Z110" s="291"/>
      <c r="AA110" s="291"/>
      <c r="AB110" s="291"/>
      <c r="AC110" s="291"/>
      <c r="AD110" s="291"/>
      <c r="AE110" s="291"/>
      <c r="AF110" s="291"/>
      <c r="AG110" s="291"/>
      <c r="AH110" s="291"/>
      <c r="AN110" s="23"/>
      <c r="AO110" s="23"/>
      <c r="AP110" s="23"/>
      <c r="AQ110" s="23"/>
      <c r="AR110" s="23"/>
      <c r="AT110" s="22"/>
      <c r="AU110" s="22"/>
      <c r="AV110" s="22"/>
      <c r="AW110" s="22"/>
      <c r="AX110" s="22"/>
    </row>
    <row r="111" spans="1:50" x14ac:dyDescent="0.2">
      <c r="D111" s="174" t="s">
        <v>68</v>
      </c>
      <c r="E111" s="176">
        <f>SUM(E105:E106)/(F2*0.04)</f>
        <v>4.8716906512702073E-2</v>
      </c>
      <c r="F111" s="296">
        <f>SUM(F105:G106)/(F2*0.04)</f>
        <v>0.2132768089507176</v>
      </c>
      <c r="G111" s="296"/>
      <c r="H111"/>
      <c r="I111" s="291" t="s">
        <v>108</v>
      </c>
      <c r="J111" s="291"/>
      <c r="K111" s="291"/>
      <c r="L111" s="291"/>
      <c r="M111" s="291"/>
      <c r="N111" s="291"/>
      <c r="O111" s="303">
        <f>(AVERAGE(E67:E79)*52)</f>
        <v>301039.53810623556</v>
      </c>
      <c r="P111" s="304"/>
      <c r="Q111" s="291" t="s">
        <v>116</v>
      </c>
      <c r="R111" s="291"/>
      <c r="S111" s="291"/>
      <c r="T111" s="291"/>
      <c r="U111" s="291"/>
      <c r="V111" s="291"/>
      <c r="W111" s="291"/>
      <c r="X111" s="291"/>
      <c r="Y111" s="291"/>
      <c r="Z111" s="291"/>
      <c r="AA111" s="291"/>
      <c r="AB111" s="291"/>
      <c r="AC111" s="291"/>
      <c r="AD111" s="291"/>
      <c r="AE111" s="291"/>
      <c r="AF111" s="291"/>
      <c r="AG111" s="291"/>
      <c r="AH111" s="291"/>
      <c r="AN111" s="23"/>
      <c r="AO111" s="23"/>
      <c r="AP111" s="23"/>
      <c r="AQ111" s="23"/>
      <c r="AR111" s="23"/>
      <c r="AT111" s="22"/>
      <c r="AU111" s="22"/>
      <c r="AV111" s="22"/>
      <c r="AW111" s="22"/>
      <c r="AX111" s="22"/>
    </row>
    <row r="112" spans="1:50" x14ac:dyDescent="0.2">
      <c r="D112" s="174" t="s">
        <v>69</v>
      </c>
      <c r="E112" s="178">
        <f>SUM(E105:E106)/$F$2</f>
        <v>1.9486762605080831E-3</v>
      </c>
      <c r="F112" s="290">
        <f>SUM(F105:G106)/$F$2</f>
        <v>8.5310723580287046E-3</v>
      </c>
      <c r="G112" s="290"/>
      <c r="H112"/>
      <c r="I112" s="291" t="s">
        <v>109</v>
      </c>
      <c r="J112" s="291"/>
      <c r="K112" s="291"/>
      <c r="L112" s="291"/>
      <c r="M112" s="291"/>
      <c r="N112" s="291"/>
      <c r="O112" s="303">
        <f>((F49*5)*0.75)/5*0.02</f>
        <v>3750000</v>
      </c>
      <c r="P112" s="304"/>
      <c r="Q112" s="291" t="s">
        <v>117</v>
      </c>
      <c r="R112" s="291"/>
      <c r="S112" s="291"/>
      <c r="T112" s="291"/>
      <c r="U112" s="291"/>
      <c r="V112" s="291"/>
      <c r="W112" s="291"/>
      <c r="X112" s="291"/>
      <c r="Y112" s="291"/>
      <c r="Z112" s="291"/>
      <c r="AA112" s="291"/>
      <c r="AB112" s="291"/>
      <c r="AC112" s="291"/>
      <c r="AD112" s="291"/>
      <c r="AE112" s="291"/>
      <c r="AF112" s="291"/>
      <c r="AG112" s="291"/>
      <c r="AH112" s="291"/>
      <c r="AN112" s="23"/>
      <c r="AO112" s="23"/>
      <c r="AP112" s="23"/>
      <c r="AQ112" s="23"/>
      <c r="AR112" s="23"/>
      <c r="AT112" s="22"/>
      <c r="AU112" s="22"/>
      <c r="AV112" s="22"/>
      <c r="AW112" s="22"/>
      <c r="AX112" s="22"/>
    </row>
    <row r="113" spans="1:50" x14ac:dyDescent="0.2">
      <c r="D113" s="187"/>
      <c r="E113" s="188"/>
      <c r="F113" s="188"/>
      <c r="G113" s="188"/>
      <c r="H113"/>
      <c r="I113" s="187"/>
      <c r="J113" s="187"/>
      <c r="K113" s="187"/>
      <c r="L113" s="187"/>
      <c r="M113" s="187"/>
      <c r="N113" s="187"/>
      <c r="O113" s="189"/>
      <c r="P113" s="189"/>
      <c r="AN113" s="23"/>
      <c r="AO113" s="23"/>
      <c r="AP113" s="23"/>
      <c r="AQ113" s="23"/>
      <c r="AR113" s="23"/>
      <c r="AT113" s="22"/>
      <c r="AU113" s="22"/>
      <c r="AV113" s="22"/>
      <c r="AW113" s="22"/>
      <c r="AX113" s="22"/>
    </row>
    <row r="114" spans="1:50" x14ac:dyDescent="0.2">
      <c r="D114" s="170" t="s">
        <v>110</v>
      </c>
      <c r="F114" s="288"/>
      <c r="G114" s="288"/>
      <c r="H114" s="288"/>
      <c r="I114" s="289"/>
      <c r="J114" s="289"/>
      <c r="K114" s="32"/>
      <c r="L114" s="289"/>
      <c r="M114" s="289"/>
    </row>
    <row r="115" spans="1:50" x14ac:dyDescent="0.2">
      <c r="A115" s="22"/>
      <c r="B115" s="22"/>
      <c r="C115"/>
      <c r="D115" s="295"/>
      <c r="E115" s="295"/>
      <c r="F115" s="182">
        <v>44927</v>
      </c>
      <c r="G115" s="182">
        <v>44958</v>
      </c>
      <c r="H115" s="182">
        <v>44986</v>
      </c>
      <c r="I115" s="182">
        <v>45017</v>
      </c>
      <c r="J115" s="182">
        <v>45047</v>
      </c>
      <c r="K115" s="182">
        <v>45078</v>
      </c>
      <c r="L115" s="182">
        <v>45108</v>
      </c>
      <c r="M115" s="182">
        <v>45139</v>
      </c>
      <c r="N115" s="182">
        <v>45170</v>
      </c>
      <c r="O115" s="182">
        <v>45200</v>
      </c>
      <c r="P115" s="182">
        <v>45231</v>
      </c>
      <c r="Q115" s="182">
        <v>45261</v>
      </c>
      <c r="R115" s="182">
        <v>45292</v>
      </c>
      <c r="S115" s="182">
        <v>45323</v>
      </c>
      <c r="T115" s="182">
        <v>45352</v>
      </c>
      <c r="U115" s="182">
        <v>45383</v>
      </c>
      <c r="V115" s="182">
        <v>45413</v>
      </c>
      <c r="W115" s="182">
        <v>45444</v>
      </c>
      <c r="X115" s="182">
        <v>45474</v>
      </c>
      <c r="Y115" s="182">
        <v>45505</v>
      </c>
      <c r="Z115" s="182">
        <v>45536</v>
      </c>
      <c r="AA115" s="182">
        <v>45566</v>
      </c>
      <c r="AB115" s="182">
        <v>45597</v>
      </c>
      <c r="AC115" s="182">
        <v>45627</v>
      </c>
      <c r="AD115" s="182">
        <v>45658</v>
      </c>
      <c r="AF115" s="182">
        <v>45689</v>
      </c>
      <c r="AG115" s="182">
        <v>45717</v>
      </c>
      <c r="AH115" s="182">
        <v>45748</v>
      </c>
      <c r="AI115" s="182">
        <v>45778</v>
      </c>
      <c r="AJ115" s="182">
        <v>45809</v>
      </c>
      <c r="AK115" s="182">
        <v>45839</v>
      </c>
      <c r="AL115" s="182">
        <v>45870</v>
      </c>
      <c r="AM115" s="182">
        <v>45901</v>
      </c>
      <c r="AN115"/>
      <c r="AQ115" s="23"/>
      <c r="AR115" s="23"/>
      <c r="AV115" s="22"/>
      <c r="AW115" s="22"/>
      <c r="AX115" s="22"/>
    </row>
    <row r="116" spans="1:50" x14ac:dyDescent="0.2">
      <c r="A116" s="22"/>
      <c r="B116" s="22"/>
      <c r="C116"/>
      <c r="D116" s="292" t="s">
        <v>97</v>
      </c>
      <c r="E116" s="292"/>
      <c r="F116" s="183">
        <f t="shared" ref="F116:AC116" si="83">G44</f>
        <v>71640.607060376118</v>
      </c>
      <c r="G116" s="183">
        <f t="shared" si="83"/>
        <v>59980.369515011545</v>
      </c>
      <c r="H116" s="183">
        <f t="shared" si="83"/>
        <v>57350.420653249756</v>
      </c>
      <c r="I116" s="183">
        <f t="shared" si="83"/>
        <v>45454.30550973276</v>
      </c>
      <c r="J116" s="183">
        <f t="shared" si="83"/>
        <v>31631.095348069943</v>
      </c>
      <c r="K116" s="183">
        <f t="shared" si="83"/>
        <v>33249.587594853183</v>
      </c>
      <c r="L116" s="183">
        <f t="shared" si="83"/>
        <v>23942.901270207854</v>
      </c>
      <c r="M116" s="183">
        <f t="shared" si="83"/>
        <v>18942.901270207854</v>
      </c>
      <c r="N116" s="183">
        <f t="shared" si="83"/>
        <v>15606.033487297922</v>
      </c>
      <c r="O116" s="183">
        <f t="shared" si="83"/>
        <v>17942.901270207854</v>
      </c>
      <c r="P116" s="183">
        <f t="shared" si="83"/>
        <v>16606.033487297922</v>
      </c>
      <c r="Q116" s="183">
        <f t="shared" si="83"/>
        <v>26309.877367205543</v>
      </c>
      <c r="R116" s="183">
        <f t="shared" si="83"/>
        <v>5945.1605080831414</v>
      </c>
      <c r="S116" s="183">
        <f t="shared" si="83"/>
        <v>5819.6662817551969</v>
      </c>
      <c r="T116" s="183">
        <f t="shared" si="83"/>
        <v>5945.1605080831414</v>
      </c>
      <c r="U116" s="183">
        <f t="shared" si="83"/>
        <v>5882.4133949191691</v>
      </c>
      <c r="V116" s="183">
        <f t="shared" si="83"/>
        <v>5945.1605080831414</v>
      </c>
      <c r="W116" s="183">
        <f t="shared" si="83"/>
        <v>5882.4133949191691</v>
      </c>
      <c r="X116" s="183">
        <f t="shared" si="83"/>
        <v>6042.4185334872982</v>
      </c>
      <c r="Y116" s="183">
        <f t="shared" si="83"/>
        <v>6042.4185334872982</v>
      </c>
      <c r="Z116" s="183">
        <f t="shared" si="83"/>
        <v>5976.5340646651275</v>
      </c>
      <c r="AA116" s="183">
        <f t="shared" si="83"/>
        <v>5021.2092667436491</v>
      </c>
      <c r="AB116" s="183">
        <f t="shared" si="83"/>
        <v>4988.2670323325638</v>
      </c>
      <c r="AC116" s="183">
        <f t="shared" si="83"/>
        <v>5021.2092667436491</v>
      </c>
      <c r="AD116" s="184"/>
      <c r="AF116" s="184"/>
      <c r="AG116" s="184"/>
      <c r="AH116" s="184"/>
      <c r="AI116" s="184"/>
      <c r="AJ116" s="184"/>
      <c r="AK116" s="184"/>
      <c r="AL116" s="184"/>
      <c r="AM116" s="184"/>
      <c r="AN116"/>
      <c r="AR116" s="23"/>
      <c r="AX116" s="22"/>
    </row>
    <row r="117" spans="1:50" x14ac:dyDescent="0.2">
      <c r="A117" s="22"/>
      <c r="B117" s="22"/>
      <c r="C117"/>
      <c r="D117" s="293" t="s">
        <v>98</v>
      </c>
      <c r="E117" s="293"/>
      <c r="F117" s="186">
        <f>F116</f>
        <v>71640.607060376118</v>
      </c>
      <c r="G117" s="186">
        <f>F117+G116</f>
        <v>131620.97657538767</v>
      </c>
      <c r="H117" s="186">
        <f t="shared" ref="H117:AD117" si="84">G117+H116</f>
        <v>188971.39722863742</v>
      </c>
      <c r="I117" s="186">
        <f t="shared" si="84"/>
        <v>234425.70273837016</v>
      </c>
      <c r="J117" s="186">
        <f t="shared" si="84"/>
        <v>266056.79808644013</v>
      </c>
      <c r="K117" s="186">
        <f t="shared" si="84"/>
        <v>299306.38568129332</v>
      </c>
      <c r="L117" s="186">
        <f t="shared" si="84"/>
        <v>323249.28695150116</v>
      </c>
      <c r="M117" s="186">
        <f t="shared" si="84"/>
        <v>342192.18822170899</v>
      </c>
      <c r="N117" s="186">
        <f t="shared" si="84"/>
        <v>357798.22170900693</v>
      </c>
      <c r="O117" s="186">
        <f t="shared" si="84"/>
        <v>375741.12297921476</v>
      </c>
      <c r="P117" s="186">
        <f t="shared" si="84"/>
        <v>392347.15646651271</v>
      </c>
      <c r="Q117" s="186">
        <f t="shared" si="84"/>
        <v>418657.03383371828</v>
      </c>
      <c r="R117" s="186">
        <f t="shared" si="84"/>
        <v>424602.1943418014</v>
      </c>
      <c r="S117" s="186">
        <f t="shared" si="84"/>
        <v>430421.8606235566</v>
      </c>
      <c r="T117" s="186">
        <f t="shared" si="84"/>
        <v>436367.02113163972</v>
      </c>
      <c r="U117" s="186">
        <f t="shared" si="84"/>
        <v>442249.43452655891</v>
      </c>
      <c r="V117" s="186">
        <f t="shared" si="84"/>
        <v>448194.59503464203</v>
      </c>
      <c r="W117" s="186">
        <f t="shared" si="84"/>
        <v>454077.00842956122</v>
      </c>
      <c r="X117" s="186">
        <f t="shared" si="84"/>
        <v>460119.42696304852</v>
      </c>
      <c r="Y117" s="186">
        <f t="shared" si="84"/>
        <v>466161.84549653583</v>
      </c>
      <c r="Z117" s="186">
        <f t="shared" si="84"/>
        <v>472138.37956120097</v>
      </c>
      <c r="AA117" s="186">
        <f t="shared" si="84"/>
        <v>477159.58882794459</v>
      </c>
      <c r="AB117" s="186">
        <f t="shared" si="84"/>
        <v>482147.85586027714</v>
      </c>
      <c r="AC117" s="186">
        <f t="shared" si="84"/>
        <v>487169.06512702076</v>
      </c>
      <c r="AD117" s="186">
        <f t="shared" si="84"/>
        <v>487169.06512702076</v>
      </c>
      <c r="AF117" s="186"/>
      <c r="AG117" s="186">
        <f t="shared" ref="AG117:AM117" si="85">AF117+AG116</f>
        <v>0</v>
      </c>
      <c r="AH117" s="186">
        <f t="shared" si="85"/>
        <v>0</v>
      </c>
      <c r="AI117" s="186">
        <f t="shared" si="85"/>
        <v>0</v>
      </c>
      <c r="AJ117" s="186">
        <f t="shared" si="85"/>
        <v>0</v>
      </c>
      <c r="AK117" s="186">
        <f t="shared" si="85"/>
        <v>0</v>
      </c>
      <c r="AL117" s="186">
        <f t="shared" si="85"/>
        <v>0</v>
      </c>
      <c r="AM117" s="186">
        <f t="shared" si="85"/>
        <v>0</v>
      </c>
      <c r="AN117"/>
      <c r="AR117" s="23"/>
      <c r="AX117" s="22"/>
    </row>
    <row r="118" spans="1:50" x14ac:dyDescent="0.2">
      <c r="A118" s="22"/>
      <c r="B118" s="22"/>
      <c r="C118"/>
      <c r="D118" s="292" t="s">
        <v>96</v>
      </c>
      <c r="E118" s="292"/>
      <c r="F118" s="183">
        <f t="shared" ref="F118:AC118" si="86">G101</f>
        <v>150399.34015176512</v>
      </c>
      <c r="G118" s="183">
        <f t="shared" si="86"/>
        <v>136758.19861431874</v>
      </c>
      <c r="H118" s="183">
        <f t="shared" si="86"/>
        <v>111588.1474760805</v>
      </c>
      <c r="I118" s="183">
        <f t="shared" si="86"/>
        <v>81406.400527878592</v>
      </c>
      <c r="J118" s="183">
        <f t="shared" si="86"/>
        <v>48832.461233916205</v>
      </c>
      <c r="K118" s="183">
        <f t="shared" si="86"/>
        <v>47698.251402177499</v>
      </c>
      <c r="L118" s="183">
        <f t="shared" si="86"/>
        <v>53647.777598152425</v>
      </c>
      <c r="M118" s="183">
        <f t="shared" si="86"/>
        <v>53647.777598152425</v>
      </c>
      <c r="N118" s="183">
        <f t="shared" si="86"/>
        <v>57738.328521939962</v>
      </c>
      <c r="O118" s="183">
        <f t="shared" si="86"/>
        <v>42190.456408775979</v>
      </c>
      <c r="P118" s="183">
        <f t="shared" si="86"/>
        <v>33858.951501154734</v>
      </c>
      <c r="Q118" s="183">
        <f t="shared" si="86"/>
        <v>55556.416166281764</v>
      </c>
      <c r="R118" s="183">
        <f t="shared" si="86"/>
        <v>32359.342455735183</v>
      </c>
      <c r="S118" s="183">
        <f t="shared" si="86"/>
        <v>31272.987028483451</v>
      </c>
      <c r="T118" s="183">
        <f t="shared" si="86"/>
        <v>32359.342455735183</v>
      </c>
      <c r="U118" s="183">
        <f t="shared" si="86"/>
        <v>37421.47074672825</v>
      </c>
      <c r="V118" s="183">
        <f t="shared" si="86"/>
        <v>51157.668668206323</v>
      </c>
      <c r="W118" s="183">
        <f t="shared" si="86"/>
        <v>69330.673979984611</v>
      </c>
      <c r="X118" s="183">
        <f t="shared" si="86"/>
        <v>76439.510434949974</v>
      </c>
      <c r="Y118" s="183">
        <f t="shared" si="86"/>
        <v>67943.960434949971</v>
      </c>
      <c r="Z118" s="183">
        <f t="shared" si="86"/>
        <v>67349.666012317175</v>
      </c>
      <c r="AA118" s="183">
        <f t="shared" si="86"/>
        <v>57943.960434949971</v>
      </c>
      <c r="AB118" s="183">
        <f t="shared" si="86"/>
        <v>47349.666012317175</v>
      </c>
      <c r="AC118" s="183">
        <f t="shared" si="86"/>
        <v>42943.960434949971</v>
      </c>
      <c r="AD118" s="183">
        <f>AF101</f>
        <v>42943.960434949971</v>
      </c>
      <c r="AF118" s="183">
        <f t="shared" ref="AF118" si="87">AG101</f>
        <v>41161.077167051582</v>
      </c>
      <c r="AG118" s="183">
        <f t="shared" ref="AG118" si="88">AH101</f>
        <v>42943.960434949971</v>
      </c>
      <c r="AH118" s="183">
        <f t="shared" ref="AH118" si="89">AI101</f>
        <v>42349.666012317175</v>
      </c>
      <c r="AI118" s="183">
        <f t="shared" ref="AI118" si="90">AJ101</f>
        <v>38943.960434949971</v>
      </c>
      <c r="AJ118" s="183">
        <f t="shared" ref="AJ118" si="91">AK101</f>
        <v>43349.666012317175</v>
      </c>
      <c r="AK118" s="183">
        <f t="shared" ref="AK118" si="92">AL101</f>
        <v>52410.790510007704</v>
      </c>
      <c r="AL118" s="183">
        <f t="shared" ref="AL118" si="93">AM101</f>
        <v>55065.962793495004</v>
      </c>
      <c r="AM118" s="183">
        <f t="shared" ref="AM118" si="94">AN101</f>
        <v>286404.32940723631</v>
      </c>
      <c r="AN118"/>
      <c r="AR118" s="23"/>
      <c r="AX118" s="22"/>
    </row>
    <row r="119" spans="1:50" x14ac:dyDescent="0.2">
      <c r="C119"/>
      <c r="D119" s="294" t="s">
        <v>99</v>
      </c>
      <c r="E119" s="294"/>
      <c r="F119" s="185">
        <f>F118</f>
        <v>150399.34015176512</v>
      </c>
      <c r="G119" s="185">
        <f>F119+G118</f>
        <v>287157.53876608389</v>
      </c>
      <c r="H119" s="185">
        <f t="shared" ref="H119" si="95">G119+H118</f>
        <v>398745.6862421644</v>
      </c>
      <c r="I119" s="185">
        <f t="shared" ref="I119" si="96">H119+I118</f>
        <v>480152.08677004301</v>
      </c>
      <c r="J119" s="185">
        <f t="shared" ref="J119" si="97">I119+J118</f>
        <v>528984.54800395924</v>
      </c>
      <c r="K119" s="185">
        <f t="shared" ref="K119" si="98">J119+K118</f>
        <v>576682.79940613674</v>
      </c>
      <c r="L119" s="185">
        <f t="shared" ref="L119" si="99">K119+L118</f>
        <v>630330.57700428914</v>
      </c>
      <c r="M119" s="185">
        <f t="shared" ref="M119" si="100">L119+M118</f>
        <v>683978.35460244154</v>
      </c>
      <c r="N119" s="185">
        <f t="shared" ref="N119" si="101">M119+N118</f>
        <v>741716.68312438147</v>
      </c>
      <c r="O119" s="185">
        <f t="shared" ref="O119" si="102">N119+O118</f>
        <v>783907.13953315746</v>
      </c>
      <c r="P119" s="185">
        <f t="shared" ref="P119" si="103">O119+P118</f>
        <v>817766.09103431215</v>
      </c>
      <c r="Q119" s="185">
        <f t="shared" ref="Q119" si="104">P119+Q118</f>
        <v>873322.50720059394</v>
      </c>
      <c r="R119" s="185">
        <f t="shared" ref="R119" si="105">Q119+R118</f>
        <v>905681.84965632914</v>
      </c>
      <c r="S119" s="185">
        <f t="shared" ref="S119" si="106">R119+S118</f>
        <v>936954.83668481256</v>
      </c>
      <c r="T119" s="185">
        <f t="shared" ref="T119" si="107">S119+T118</f>
        <v>969314.17914054776</v>
      </c>
      <c r="U119" s="185">
        <f t="shared" ref="U119" si="108">T119+U118</f>
        <v>1006735.649887276</v>
      </c>
      <c r="V119" s="185">
        <f t="shared" ref="V119" si="109">U119+V118</f>
        <v>1057893.3185554824</v>
      </c>
      <c r="W119" s="185">
        <f t="shared" ref="W119" si="110">V119+W118</f>
        <v>1127223.992535467</v>
      </c>
      <c r="X119" s="185">
        <f t="shared" ref="X119" si="111">W119+X118</f>
        <v>1203663.502970417</v>
      </c>
      <c r="Y119" s="185">
        <f t="shared" ref="Y119" si="112">X119+Y118</f>
        <v>1271607.463405367</v>
      </c>
      <c r="Z119" s="185">
        <f t="shared" ref="Z119" si="113">Y119+Z118</f>
        <v>1338957.1294176842</v>
      </c>
      <c r="AA119" s="185">
        <f t="shared" ref="AA119" si="114">Z119+AA118</f>
        <v>1396901.0898526341</v>
      </c>
      <c r="AB119" s="185">
        <f t="shared" ref="AB119" si="115">AA119+AB118</f>
        <v>1444250.7558649513</v>
      </c>
      <c r="AC119" s="185">
        <f t="shared" ref="AC119" si="116">AB119+AC118</f>
        <v>1487194.7162999013</v>
      </c>
      <c r="AD119" s="185">
        <f t="shared" ref="AD119" si="117">AC119+AD118</f>
        <v>1530138.6767348512</v>
      </c>
      <c r="AF119" s="185">
        <f>AD119+AF118</f>
        <v>1571299.7539019028</v>
      </c>
      <c r="AG119" s="185">
        <f t="shared" ref="AG119" si="118">AF119+AG118</f>
        <v>1614243.7143368528</v>
      </c>
      <c r="AH119" s="185">
        <f t="shared" ref="AH119" si="119">AG119+AH118</f>
        <v>1656593.38034917</v>
      </c>
      <c r="AI119" s="185">
        <f t="shared" ref="AI119" si="120">AH119+AI118</f>
        <v>1695537.3407841199</v>
      </c>
      <c r="AJ119" s="185">
        <f t="shared" ref="AJ119" si="121">AI119+AJ118</f>
        <v>1738887.0067964371</v>
      </c>
      <c r="AK119" s="185">
        <f t="shared" ref="AK119" si="122">AJ119+AK118</f>
        <v>1791297.7973064447</v>
      </c>
      <c r="AL119" s="185">
        <f t="shared" ref="AL119" si="123">AK119+AL118</f>
        <v>1846363.7600999398</v>
      </c>
      <c r="AM119" s="185">
        <f t="shared" ref="AM119" si="124">AL119+AM118</f>
        <v>2132768.0895071761</v>
      </c>
      <c r="AN119"/>
      <c r="AR119" s="23"/>
      <c r="AX119" s="22"/>
    </row>
    <row r="120" spans="1:50" x14ac:dyDescent="0.2">
      <c r="C120"/>
    </row>
  </sheetData>
  <mergeCells count="99">
    <mergeCell ref="Q112:AH112"/>
    <mergeCell ref="Q104:AH104"/>
    <mergeCell ref="Q105:AH105"/>
    <mergeCell ref="Q106:AH106"/>
    <mergeCell ref="M55:AN55"/>
    <mergeCell ref="U57:AN57"/>
    <mergeCell ref="V58:AC58"/>
    <mergeCell ref="O109:P109"/>
    <mergeCell ref="O110:P110"/>
    <mergeCell ref="O111:P111"/>
    <mergeCell ref="O112:P112"/>
    <mergeCell ref="Q107:AH107"/>
    <mergeCell ref="Q108:AH108"/>
    <mergeCell ref="Q109:AH109"/>
    <mergeCell ref="Q110:AH110"/>
    <mergeCell ref="Q111:AH111"/>
    <mergeCell ref="C99:E99"/>
    <mergeCell ref="C63:F63"/>
    <mergeCell ref="G63:R63"/>
    <mergeCell ref="S63:AD63"/>
    <mergeCell ref="Y59:AM59"/>
    <mergeCell ref="AF63:AO63"/>
    <mergeCell ref="AL61:AN61"/>
    <mergeCell ref="AM60:AN60"/>
    <mergeCell ref="E93:F93"/>
    <mergeCell ref="C53:F61"/>
    <mergeCell ref="K54:O54"/>
    <mergeCell ref="C4:F4"/>
    <mergeCell ref="G4:R4"/>
    <mergeCell ref="C5:F5"/>
    <mergeCell ref="G5:AD5"/>
    <mergeCell ref="G7:AD7"/>
    <mergeCell ref="C6:F11"/>
    <mergeCell ref="G6:K6"/>
    <mergeCell ref="K8:AD8"/>
    <mergeCell ref="S11:AD11"/>
    <mergeCell ref="C37:E37"/>
    <mergeCell ref="C101:E101"/>
    <mergeCell ref="C64:F64"/>
    <mergeCell ref="C65:F65"/>
    <mergeCell ref="C81:E81"/>
    <mergeCell ref="C94:E94"/>
    <mergeCell ref="E84:F84"/>
    <mergeCell ref="E85:F85"/>
    <mergeCell ref="E86:F86"/>
    <mergeCell ref="E87:F87"/>
    <mergeCell ref="E88:F88"/>
    <mergeCell ref="E89:F89"/>
    <mergeCell ref="E90:F90"/>
    <mergeCell ref="E91:F91"/>
    <mergeCell ref="E83:F83"/>
    <mergeCell ref="E92:F92"/>
    <mergeCell ref="G52:AD52"/>
    <mergeCell ref="S13:AD13"/>
    <mergeCell ref="Q56:U56"/>
    <mergeCell ref="F105:G105"/>
    <mergeCell ref="F106:G106"/>
    <mergeCell ref="G51:R51"/>
    <mergeCell ref="C52:F52"/>
    <mergeCell ref="C44:E44"/>
    <mergeCell ref="C51:F51"/>
    <mergeCell ref="G53:K53"/>
    <mergeCell ref="C42:E42"/>
    <mergeCell ref="C13:F13"/>
    <mergeCell ref="C14:F14"/>
    <mergeCell ref="C15:F15"/>
    <mergeCell ref="G13:R13"/>
    <mergeCell ref="C29:E29"/>
    <mergeCell ref="O104:P104"/>
    <mergeCell ref="O105:P105"/>
    <mergeCell ref="O106:P106"/>
    <mergeCell ref="O107:P107"/>
    <mergeCell ref="O108:P108"/>
    <mergeCell ref="I108:N108"/>
    <mergeCell ref="I109:N109"/>
    <mergeCell ref="I110:N110"/>
    <mergeCell ref="F108:G108"/>
    <mergeCell ref="F104:G104"/>
    <mergeCell ref="D116:E116"/>
    <mergeCell ref="D117:E117"/>
    <mergeCell ref="D118:E118"/>
    <mergeCell ref="D119:E119"/>
    <mergeCell ref="D115:E115"/>
    <mergeCell ref="C3:AC3"/>
    <mergeCell ref="C50:AB50"/>
    <mergeCell ref="F114:H114"/>
    <mergeCell ref="I114:J114"/>
    <mergeCell ref="F112:G112"/>
    <mergeCell ref="L114:M114"/>
    <mergeCell ref="I112:N112"/>
    <mergeCell ref="F111:G111"/>
    <mergeCell ref="F110:G110"/>
    <mergeCell ref="F107:G107"/>
    <mergeCell ref="F109:G109"/>
    <mergeCell ref="I104:N104"/>
    <mergeCell ref="I106:N106"/>
    <mergeCell ref="I111:N111"/>
    <mergeCell ref="I105:N105"/>
    <mergeCell ref="I107:N107"/>
  </mergeCells>
  <phoneticPr fontId="13" type="noConversion"/>
  <conditionalFormatting sqref="G16:AH18 G39:AH39 G41:AH41 G40:AG40 AO90:AO92 AO84:AP89 AP90:AQ93 AQ87:AR89 AR90:AR92 G20:AF20 G19:AE19 AF17:AH27 G31:AH36 AF83:AN93 G84:AE92 G21:AH28">
    <cfRule type="cellIs" dxfId="40" priority="540" operator="greaterThan">
      <formula>0</formula>
    </cfRule>
  </conditionalFormatting>
  <conditionalFormatting sqref="AG32:AH35">
    <cfRule type="cellIs" dxfId="39" priority="12" operator="greaterThan">
      <formula>0</formula>
    </cfRule>
  </conditionalFormatting>
  <conditionalFormatting sqref="AH40">
    <cfRule type="cellIs" dxfId="38" priority="11" operator="greaterThan">
      <formula>0</formula>
    </cfRule>
  </conditionalFormatting>
  <conditionalFormatting sqref="G83:AR83 G78:AP79 G66:AR66 AP68:AP79 G67:AP69 AO97:AQ97 AO98:AR98 G97:AN98 G96:AR96">
    <cfRule type="cellIs" dxfId="37" priority="10" operator="greaterThan">
      <formula>0</formula>
    </cfRule>
  </conditionalFormatting>
  <conditionalFormatting sqref="G80:AO80">
    <cfRule type="cellIs" dxfId="36" priority="9" operator="greaterThan">
      <formula>0</formula>
    </cfRule>
  </conditionalFormatting>
  <conditionalFormatting sqref="G93:AE93 AO93">
    <cfRule type="cellIs" dxfId="35" priority="8" operator="greaterThan">
      <formula>0</formula>
    </cfRule>
  </conditionalFormatting>
  <conditionalFormatting sqref="AQ84:AR86">
    <cfRule type="cellIs" dxfId="34" priority="6" operator="greaterThan">
      <formula>0</formula>
    </cfRule>
  </conditionalFormatting>
  <conditionalFormatting sqref="AR97">
    <cfRule type="cellIs" dxfId="33" priority="5" operator="greaterThan">
      <formula>0</formula>
    </cfRule>
  </conditionalFormatting>
  <conditionalFormatting sqref="AP67:AP79 G70:AR77">
    <cfRule type="cellIs" dxfId="32" priority="4" operator="greaterThan">
      <formula>0</formula>
    </cfRule>
  </conditionalFormatting>
  <conditionalFormatting sqref="AQ67:AR69">
    <cfRule type="cellIs" dxfId="31" priority="3" operator="greaterThan">
      <formula>0</formula>
    </cfRule>
  </conditionalFormatting>
  <conditionalFormatting sqref="AQ78:AR79">
    <cfRule type="cellIs" dxfId="30" priority="2" operator="greaterThan">
      <formula>0</formula>
    </cfRule>
  </conditionalFormatting>
  <pageMargins left="0.70866141732283472" right="0.70866141732283472" top="0.74803149606299213" bottom="0.74803149606299213" header="0.31496062992125984" footer="0.31496062992125984"/>
  <pageSetup paperSize="8" scale="39" fitToHeight="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EAEEB-AD41-4A7E-AFF8-A0C727F6D7EA}">
  <sheetPr>
    <pageSetUpPr fitToPage="1"/>
  </sheetPr>
  <dimension ref="A1:AX116"/>
  <sheetViews>
    <sheetView view="pageBreakPreview" topLeftCell="O82" zoomScale="85" zoomScaleNormal="40" zoomScaleSheetLayoutView="85" workbookViewId="0">
      <selection sqref="A1:B1048576"/>
    </sheetView>
  </sheetViews>
  <sheetFormatPr baseColWidth="10" defaultColWidth="9.1640625" defaultRowHeight="15" x14ac:dyDescent="0.2"/>
  <cols>
    <col min="1" max="1" width="14.33203125" style="32" bestFit="1" customWidth="1"/>
    <col min="2" max="2" width="7.83203125" style="23" customWidth="1"/>
    <col min="3" max="3" width="9.1640625" style="22" customWidth="1"/>
    <col min="4" max="4" width="45" style="22" customWidth="1"/>
    <col min="5" max="5" width="25.33203125" style="22" bestFit="1" customWidth="1"/>
    <col min="6" max="6" width="13.33203125" style="22" customWidth="1"/>
    <col min="7" max="7" width="13" style="22" customWidth="1"/>
    <col min="8" max="8" width="13.83203125" style="22" customWidth="1"/>
    <col min="9" max="30" width="9.33203125" style="22" customWidth="1"/>
    <col min="31" max="31" width="9.33203125" style="22" hidden="1" customWidth="1"/>
    <col min="32" max="32" width="10.5" style="22" bestFit="1" customWidth="1"/>
    <col min="33" max="40" width="9.33203125" style="22" customWidth="1"/>
    <col min="41" max="41" width="9.33203125" style="22" hidden="1" customWidth="1"/>
    <col min="42" max="42" width="10.5" style="22" bestFit="1" customWidth="1"/>
    <col min="43" max="43" width="7.1640625" style="22" customWidth="1"/>
    <col min="44" max="44" width="11.6640625" style="22" bestFit="1" customWidth="1"/>
    <col min="45" max="45" width="12.6640625" style="23" customWidth="1"/>
    <col min="46" max="50" width="9.33203125" style="23" customWidth="1"/>
    <col min="51" max="51" width="9.33203125" style="22" customWidth="1"/>
    <col min="52" max="16384" width="9.1640625" style="22"/>
  </cols>
  <sheetData>
    <row r="1" spans="1:50" ht="16" x14ac:dyDescent="0.2">
      <c r="C1" s="215" t="s">
        <v>26</v>
      </c>
      <c r="D1" s="215"/>
      <c r="E1" s="68" t="s">
        <v>67</v>
      </c>
      <c r="F1" s="164">
        <v>250</v>
      </c>
      <c r="G1" s="24"/>
      <c r="H1" s="24"/>
      <c r="I1" s="24"/>
      <c r="J1" s="24"/>
      <c r="K1" s="24"/>
      <c r="O1" s="24"/>
      <c r="AR1" s="23"/>
      <c r="AX1" s="22"/>
    </row>
    <row r="2" spans="1:50" ht="16" x14ac:dyDescent="0.2">
      <c r="C2" s="216" t="s">
        <v>27</v>
      </c>
      <c r="D2" s="216"/>
      <c r="E2" s="68" t="s">
        <v>59</v>
      </c>
      <c r="F2" s="165">
        <f>F1*500000</f>
        <v>125000000</v>
      </c>
      <c r="G2" s="24"/>
      <c r="H2" s="24"/>
      <c r="I2" s="24"/>
      <c r="J2" s="24"/>
      <c r="K2" s="50"/>
      <c r="O2" s="26"/>
      <c r="P2" s="23"/>
      <c r="Q2" s="23"/>
      <c r="R2" s="23"/>
      <c r="S2" s="23"/>
      <c r="T2" s="23"/>
      <c r="U2" s="23"/>
      <c r="V2" s="23"/>
      <c r="W2" s="23"/>
      <c r="X2" s="23"/>
      <c r="Y2" s="23"/>
      <c r="Z2" s="23"/>
      <c r="AI2"/>
      <c r="AJ2"/>
      <c r="AK2"/>
      <c r="AL2"/>
      <c r="AM2"/>
      <c r="AR2" s="23"/>
      <c r="AX2" s="22"/>
    </row>
    <row r="3" spans="1:50" ht="26" x14ac:dyDescent="0.2">
      <c r="C3" s="287" t="s">
        <v>40</v>
      </c>
      <c r="D3" s="287"/>
      <c r="E3" s="287"/>
      <c r="F3" s="287"/>
      <c r="G3" s="287"/>
      <c r="H3" s="287"/>
      <c r="I3" s="287"/>
      <c r="J3" s="287"/>
      <c r="K3" s="287"/>
      <c r="L3" s="287"/>
      <c r="M3" s="287"/>
      <c r="N3" s="287"/>
      <c r="O3" s="287"/>
      <c r="P3" s="287"/>
      <c r="Q3" s="287"/>
      <c r="R3" s="287"/>
      <c r="S3" s="287"/>
      <c r="T3" s="287"/>
      <c r="U3" s="287"/>
      <c r="V3" s="287"/>
      <c r="W3" s="287"/>
      <c r="X3" s="287"/>
      <c r="Y3" s="287"/>
      <c r="Z3" s="287"/>
      <c r="AA3" s="287"/>
      <c r="AI3"/>
      <c r="AJ3"/>
      <c r="AK3"/>
      <c r="AL3"/>
      <c r="AM3"/>
      <c r="AR3" s="23"/>
      <c r="AX3" s="22"/>
    </row>
    <row r="4" spans="1:50" x14ac:dyDescent="0.2">
      <c r="C4" s="322" t="s">
        <v>15</v>
      </c>
      <c r="D4" s="323"/>
      <c r="E4" s="323"/>
      <c r="F4" s="323"/>
      <c r="G4" s="314" t="s">
        <v>17</v>
      </c>
      <c r="H4" s="315"/>
      <c r="I4" s="315"/>
      <c r="J4" s="315"/>
      <c r="K4" s="315"/>
      <c r="L4" s="315"/>
      <c r="M4" s="315"/>
      <c r="N4" s="315"/>
      <c r="O4" s="315"/>
      <c r="P4" s="315"/>
      <c r="Q4" s="315"/>
      <c r="R4" s="316"/>
      <c r="S4" s="126"/>
      <c r="T4" s="126"/>
      <c r="U4" s="126"/>
      <c r="V4" s="126"/>
      <c r="W4" s="126"/>
      <c r="X4" s="126"/>
      <c r="Y4" s="126"/>
      <c r="Z4" s="126"/>
      <c r="AA4" s="127"/>
      <c r="AB4" s="127"/>
      <c r="AC4" s="127"/>
      <c r="AD4" s="127"/>
      <c r="AE4" s="127"/>
      <c r="AF4" s="127"/>
      <c r="AG4" s="127"/>
      <c r="AH4" s="128"/>
      <c r="AI4"/>
      <c r="AJ4"/>
      <c r="AK4"/>
      <c r="AL4"/>
      <c r="AM4"/>
      <c r="AR4" s="23"/>
      <c r="AX4" s="22"/>
    </row>
    <row r="5" spans="1:50" x14ac:dyDescent="0.2">
      <c r="C5" s="317" t="s">
        <v>16</v>
      </c>
      <c r="D5" s="318"/>
      <c r="E5" s="318"/>
      <c r="F5" s="318"/>
      <c r="G5" s="305" t="s">
        <v>18</v>
      </c>
      <c r="H5" s="306"/>
      <c r="I5" s="306"/>
      <c r="J5" s="306"/>
      <c r="K5" s="306"/>
      <c r="L5" s="306"/>
      <c r="M5" s="306"/>
      <c r="N5" s="306"/>
      <c r="O5" s="306"/>
      <c r="P5" s="306"/>
      <c r="Q5" s="306"/>
      <c r="R5" s="306"/>
      <c r="S5" s="306"/>
      <c r="T5" s="306"/>
      <c r="U5" s="306"/>
      <c r="V5" s="306"/>
      <c r="W5" s="306"/>
      <c r="X5" s="306"/>
      <c r="Y5" s="306"/>
      <c r="Z5" s="306"/>
      <c r="AA5" s="306"/>
      <c r="AB5" s="306"/>
      <c r="AC5" s="306"/>
      <c r="AD5" s="307"/>
      <c r="AE5" s="107"/>
      <c r="AF5" s="116"/>
      <c r="AG5" s="116"/>
      <c r="AH5" s="120"/>
      <c r="AI5"/>
      <c r="AJ5"/>
      <c r="AK5"/>
      <c r="AL5"/>
      <c r="AM5"/>
      <c r="AR5" s="23"/>
      <c r="AX5" s="22"/>
    </row>
    <row r="6" spans="1:50" x14ac:dyDescent="0.2">
      <c r="C6" s="346" t="s">
        <v>45</v>
      </c>
      <c r="D6" s="347"/>
      <c r="E6" s="347"/>
      <c r="F6" s="348"/>
      <c r="G6" s="352" t="s">
        <v>46</v>
      </c>
      <c r="H6" s="353"/>
      <c r="I6" s="353"/>
      <c r="J6" s="353"/>
      <c r="K6" s="326"/>
      <c r="L6" s="116"/>
      <c r="M6" s="116"/>
      <c r="N6" s="116"/>
      <c r="O6" s="116"/>
      <c r="P6" s="116"/>
      <c r="Q6" s="116"/>
      <c r="R6" s="133"/>
      <c r="S6" s="116"/>
      <c r="T6" s="116"/>
      <c r="U6" s="116"/>
      <c r="V6" s="116"/>
      <c r="W6" s="116"/>
      <c r="X6" s="116"/>
      <c r="Y6" s="116"/>
      <c r="Z6" s="116"/>
      <c r="AA6" s="116"/>
      <c r="AB6" s="116"/>
      <c r="AC6" s="116"/>
      <c r="AD6" s="133"/>
      <c r="AE6" s="116"/>
      <c r="AF6" s="116"/>
      <c r="AG6" s="116"/>
      <c r="AH6" s="124"/>
      <c r="AI6"/>
      <c r="AJ6"/>
      <c r="AK6"/>
      <c r="AL6"/>
      <c r="AM6"/>
      <c r="AR6" s="23"/>
      <c r="AX6" s="22"/>
    </row>
    <row r="7" spans="1:50" x14ac:dyDescent="0.2">
      <c r="C7" s="349"/>
      <c r="D7" s="350"/>
      <c r="E7" s="350"/>
      <c r="F7" s="351"/>
      <c r="G7" s="343" t="s">
        <v>55</v>
      </c>
      <c r="H7" s="344"/>
      <c r="I7" s="344"/>
      <c r="J7" s="344"/>
      <c r="K7" s="344"/>
      <c r="L7" s="344"/>
      <c r="M7" s="344"/>
      <c r="N7" s="344"/>
      <c r="O7" s="344"/>
      <c r="P7" s="344"/>
      <c r="Q7" s="344"/>
      <c r="R7" s="344"/>
      <c r="S7" s="344"/>
      <c r="T7" s="344"/>
      <c r="U7" s="344"/>
      <c r="V7" s="344"/>
      <c r="W7" s="344"/>
      <c r="X7" s="344"/>
      <c r="Y7" s="344"/>
      <c r="Z7" s="344"/>
      <c r="AA7" s="344"/>
      <c r="AB7" s="344"/>
      <c r="AC7" s="344"/>
      <c r="AD7" s="345"/>
      <c r="AE7" s="116"/>
      <c r="AF7" s="116"/>
      <c r="AG7" s="116"/>
      <c r="AH7" s="124"/>
      <c r="AI7"/>
      <c r="AJ7"/>
      <c r="AK7"/>
      <c r="AL7"/>
      <c r="AM7"/>
      <c r="AR7" s="23"/>
      <c r="AX7" s="22"/>
    </row>
    <row r="8" spans="1:50" s="110" customFormat="1" x14ac:dyDescent="0.2">
      <c r="A8" s="108"/>
      <c r="B8" s="109"/>
      <c r="C8" s="349"/>
      <c r="D8" s="350"/>
      <c r="E8" s="350"/>
      <c r="F8" s="351"/>
      <c r="G8" s="116"/>
      <c r="H8" s="116"/>
      <c r="I8" s="116"/>
      <c r="J8" s="116"/>
      <c r="K8" s="354" t="s">
        <v>56</v>
      </c>
      <c r="L8" s="355"/>
      <c r="M8" s="355"/>
      <c r="N8" s="355"/>
      <c r="O8" s="355"/>
      <c r="P8" s="355"/>
      <c r="Q8" s="355"/>
      <c r="R8" s="355"/>
      <c r="S8" s="355"/>
      <c r="T8" s="355"/>
      <c r="U8" s="355"/>
      <c r="V8" s="355"/>
      <c r="W8" s="355"/>
      <c r="X8" s="355"/>
      <c r="Y8" s="355"/>
      <c r="Z8" s="355"/>
      <c r="AA8" s="355"/>
      <c r="AB8" s="355"/>
      <c r="AC8" s="355"/>
      <c r="AD8" s="356"/>
      <c r="AE8" s="116"/>
      <c r="AF8" s="116"/>
      <c r="AG8" s="116"/>
      <c r="AH8" s="124"/>
      <c r="AI8"/>
      <c r="AJ8"/>
      <c r="AK8"/>
      <c r="AL8"/>
      <c r="AM8"/>
      <c r="AR8" s="109"/>
      <c r="AS8" s="109"/>
      <c r="AT8" s="109"/>
      <c r="AU8" s="109"/>
      <c r="AV8" s="109"/>
      <c r="AW8" s="109"/>
    </row>
    <row r="9" spans="1:50" s="110" customFormat="1" x14ac:dyDescent="0.2">
      <c r="A9" s="108"/>
      <c r="B9" s="109"/>
      <c r="C9" s="349"/>
      <c r="D9" s="350"/>
      <c r="E9" s="350"/>
      <c r="F9" s="351"/>
      <c r="G9" s="116"/>
      <c r="H9" s="116"/>
      <c r="I9" s="116"/>
      <c r="J9" s="116"/>
      <c r="K9" s="130"/>
      <c r="L9" s="116"/>
      <c r="M9" s="132"/>
      <c r="N9" s="156"/>
      <c r="O9" s="156"/>
      <c r="P9" s="155"/>
      <c r="Q9" s="158" t="s">
        <v>87</v>
      </c>
      <c r="R9" s="157"/>
      <c r="S9" s="116"/>
      <c r="T9" s="116"/>
      <c r="U9" s="116"/>
      <c r="V9" s="116"/>
      <c r="W9" s="116"/>
      <c r="X9" s="116"/>
      <c r="Y9" s="116"/>
      <c r="Z9" s="116"/>
      <c r="AA9" s="116"/>
      <c r="AB9" s="116"/>
      <c r="AC9" s="116"/>
      <c r="AD9" s="134"/>
      <c r="AE9" s="116"/>
      <c r="AF9" s="116"/>
      <c r="AG9" s="116"/>
      <c r="AH9" s="124"/>
      <c r="AI9"/>
      <c r="AJ9"/>
      <c r="AK9"/>
      <c r="AL9"/>
      <c r="AM9"/>
      <c r="AR9" s="109"/>
      <c r="AS9" s="109"/>
      <c r="AT9" s="109"/>
      <c r="AU9" s="109"/>
      <c r="AV9" s="109"/>
      <c r="AW9" s="109"/>
    </row>
    <row r="10" spans="1:50" s="110" customFormat="1" x14ac:dyDescent="0.2">
      <c r="A10" s="108"/>
      <c r="B10" s="109"/>
      <c r="C10" s="349"/>
      <c r="D10" s="350"/>
      <c r="E10" s="350"/>
      <c r="F10" s="351"/>
      <c r="G10" s="116"/>
      <c r="H10" s="116"/>
      <c r="I10" s="116"/>
      <c r="J10" s="116"/>
      <c r="K10" s="130"/>
      <c r="L10" s="116"/>
      <c r="M10" s="116"/>
      <c r="N10" s="116"/>
      <c r="O10" s="116"/>
      <c r="P10" s="123"/>
      <c r="Q10" s="158"/>
      <c r="R10" s="161" t="s">
        <v>49</v>
      </c>
      <c r="S10" s="116"/>
      <c r="T10" s="116"/>
      <c r="U10" s="116"/>
      <c r="V10" s="116"/>
      <c r="W10" s="116"/>
      <c r="X10" s="116"/>
      <c r="Y10" s="116"/>
      <c r="Z10" s="116"/>
      <c r="AA10" s="116"/>
      <c r="AB10" s="116"/>
      <c r="AC10" s="116"/>
      <c r="AD10" s="134"/>
      <c r="AE10" s="116"/>
      <c r="AF10" s="116"/>
      <c r="AG10" s="116"/>
      <c r="AH10" s="124"/>
      <c r="AI10"/>
      <c r="AJ10"/>
      <c r="AK10"/>
      <c r="AL10"/>
      <c r="AM10"/>
      <c r="AR10" s="109"/>
      <c r="AS10" s="109"/>
      <c r="AT10" s="109"/>
      <c r="AU10" s="109"/>
      <c r="AV10" s="109"/>
      <c r="AW10" s="109"/>
    </row>
    <row r="11" spans="1:50" s="110" customFormat="1" ht="16" thickBot="1" x14ac:dyDescent="0.25">
      <c r="A11" s="108"/>
      <c r="B11" s="109"/>
      <c r="C11" s="349"/>
      <c r="D11" s="350"/>
      <c r="E11" s="350"/>
      <c r="F11" s="351"/>
      <c r="G11" s="116"/>
      <c r="H11" s="116"/>
      <c r="I11" s="116"/>
      <c r="J11" s="116"/>
      <c r="K11" s="130"/>
      <c r="L11" s="116"/>
      <c r="M11" s="116"/>
      <c r="N11" s="116"/>
      <c r="O11" s="116"/>
      <c r="P11" s="116"/>
      <c r="Q11" s="116"/>
      <c r="R11" s="116"/>
      <c r="S11" s="357" t="s">
        <v>57</v>
      </c>
      <c r="T11" s="358"/>
      <c r="U11" s="358"/>
      <c r="V11" s="358"/>
      <c r="W11" s="358"/>
      <c r="X11" s="358"/>
      <c r="Y11" s="358"/>
      <c r="Z11" s="358"/>
      <c r="AA11" s="358"/>
      <c r="AB11" s="358"/>
      <c r="AC11" s="358"/>
      <c r="AD11" s="359"/>
      <c r="AE11" s="116"/>
      <c r="AF11" s="116"/>
      <c r="AG11" s="116"/>
      <c r="AH11" s="124"/>
      <c r="AI11"/>
      <c r="AJ11"/>
      <c r="AK11"/>
      <c r="AL11"/>
      <c r="AM11"/>
      <c r="AR11" s="109"/>
      <c r="AS11" s="109"/>
      <c r="AT11" s="109"/>
      <c r="AU11" s="109"/>
      <c r="AV11" s="109"/>
      <c r="AW11" s="109"/>
    </row>
    <row r="12" spans="1:50" ht="46" thickBot="1" x14ac:dyDescent="0.25">
      <c r="A12" s="37" t="s">
        <v>82</v>
      </c>
      <c r="C12" s="72" t="s">
        <v>0</v>
      </c>
      <c r="D12" s="73"/>
      <c r="E12" s="73" t="s">
        <v>1</v>
      </c>
      <c r="F12" s="74"/>
      <c r="G12" s="69">
        <v>44927</v>
      </c>
      <c r="H12" s="69">
        <v>44958</v>
      </c>
      <c r="I12" s="69">
        <v>44986</v>
      </c>
      <c r="J12" s="69">
        <v>45017</v>
      </c>
      <c r="K12" s="69">
        <v>45047</v>
      </c>
      <c r="L12" s="69">
        <v>45078</v>
      </c>
      <c r="M12" s="69">
        <v>45108</v>
      </c>
      <c r="N12" s="69">
        <v>45139</v>
      </c>
      <c r="O12" s="69">
        <v>45170</v>
      </c>
      <c r="P12" s="69">
        <v>45200</v>
      </c>
      <c r="Q12" s="69">
        <v>45231</v>
      </c>
      <c r="R12" s="69">
        <v>45261</v>
      </c>
      <c r="S12" s="70">
        <v>45292</v>
      </c>
      <c r="T12" s="70">
        <v>45323</v>
      </c>
      <c r="U12" s="70">
        <v>45352</v>
      </c>
      <c r="V12" s="70">
        <v>45383</v>
      </c>
      <c r="W12" s="70">
        <v>45413</v>
      </c>
      <c r="X12" s="70">
        <v>45444</v>
      </c>
      <c r="Y12" s="70">
        <v>45474</v>
      </c>
      <c r="Z12" s="70">
        <v>45505</v>
      </c>
      <c r="AA12" s="70">
        <v>45536</v>
      </c>
      <c r="AB12" s="70">
        <v>45566</v>
      </c>
      <c r="AC12" s="70">
        <v>45597</v>
      </c>
      <c r="AD12" s="70">
        <v>45627</v>
      </c>
      <c r="AE12" s="16">
        <v>45658</v>
      </c>
      <c r="AF12" s="159" t="s">
        <v>2</v>
      </c>
      <c r="AG12" s="160" t="s">
        <v>6</v>
      </c>
      <c r="AH12" s="160" t="s">
        <v>7</v>
      </c>
      <c r="AI12"/>
      <c r="AJ12"/>
      <c r="AK12"/>
      <c r="AL12"/>
      <c r="AM12"/>
      <c r="AN12"/>
      <c r="AR12" s="23"/>
      <c r="AW12" s="22"/>
      <c r="AX12" s="22"/>
    </row>
    <row r="13" spans="1:50" s="28" customFormat="1" x14ac:dyDescent="0.2">
      <c r="A13" s="33" t="s">
        <v>32</v>
      </c>
      <c r="B13" s="23"/>
      <c r="C13" s="330" t="s">
        <v>3</v>
      </c>
      <c r="D13" s="331"/>
      <c r="E13" s="331"/>
      <c r="F13" s="331"/>
      <c r="G13" s="334">
        <v>2023</v>
      </c>
      <c r="H13" s="335"/>
      <c r="I13" s="335"/>
      <c r="J13" s="335"/>
      <c r="K13" s="335"/>
      <c r="L13" s="335"/>
      <c r="M13" s="335"/>
      <c r="N13" s="335"/>
      <c r="O13" s="335"/>
      <c r="P13" s="335"/>
      <c r="Q13" s="335"/>
      <c r="R13" s="336"/>
      <c r="S13" s="334">
        <v>2024</v>
      </c>
      <c r="T13" s="335"/>
      <c r="U13" s="335"/>
      <c r="V13" s="335"/>
      <c r="W13" s="335"/>
      <c r="X13" s="335"/>
      <c r="Y13" s="335"/>
      <c r="Z13" s="335"/>
      <c r="AA13" s="335"/>
      <c r="AB13" s="335"/>
      <c r="AC13" s="335"/>
      <c r="AD13" s="336"/>
      <c r="AE13" s="60"/>
      <c r="AF13" s="27"/>
      <c r="AG13" s="27"/>
      <c r="AH13" s="27"/>
      <c r="AI13"/>
      <c r="AJ13"/>
      <c r="AK13"/>
      <c r="AL13"/>
      <c r="AM13"/>
      <c r="AN13"/>
      <c r="AR13" s="23"/>
      <c r="AS13" s="23"/>
      <c r="AT13" s="23"/>
      <c r="AU13" s="23"/>
      <c r="AV13" s="23"/>
    </row>
    <row r="14" spans="1:50" s="28" customFormat="1" x14ac:dyDescent="0.2">
      <c r="A14" s="34"/>
      <c r="B14" s="23"/>
      <c r="C14" s="332" t="s">
        <v>4</v>
      </c>
      <c r="D14" s="333"/>
      <c r="E14" s="333"/>
      <c r="F14" s="333"/>
      <c r="G14" s="1">
        <f>(H12-G12)/7</f>
        <v>4.4285714285714288</v>
      </c>
      <c r="H14" s="2">
        <f t="shared" ref="H14:AC14" si="0">(I12-H12)/7</f>
        <v>4</v>
      </c>
      <c r="I14" s="2">
        <f t="shared" si="0"/>
        <v>4.4285714285714288</v>
      </c>
      <c r="J14" s="2">
        <f t="shared" si="0"/>
        <v>4.2857142857142856</v>
      </c>
      <c r="K14" s="2">
        <f t="shared" si="0"/>
        <v>4.4285714285714288</v>
      </c>
      <c r="L14" s="2">
        <f t="shared" si="0"/>
        <v>4.2857142857142856</v>
      </c>
      <c r="M14" s="2">
        <f t="shared" si="0"/>
        <v>4.4285714285714288</v>
      </c>
      <c r="N14" s="2">
        <f t="shared" si="0"/>
        <v>4.4285714285714288</v>
      </c>
      <c r="O14" s="2">
        <f t="shared" si="0"/>
        <v>4.2857142857142856</v>
      </c>
      <c r="P14" s="2">
        <f t="shared" si="0"/>
        <v>4.4285714285714288</v>
      </c>
      <c r="Q14" s="2">
        <f t="shared" si="0"/>
        <v>4.2857142857142856</v>
      </c>
      <c r="R14" s="3">
        <f t="shared" si="0"/>
        <v>4.4285714285714288</v>
      </c>
      <c r="S14" s="1">
        <f t="shared" si="0"/>
        <v>4.4285714285714288</v>
      </c>
      <c r="T14" s="2">
        <f t="shared" si="0"/>
        <v>4.1428571428571432</v>
      </c>
      <c r="U14" s="2">
        <f t="shared" si="0"/>
        <v>4.4285714285714288</v>
      </c>
      <c r="V14" s="2">
        <f t="shared" si="0"/>
        <v>4.2857142857142856</v>
      </c>
      <c r="W14" s="2">
        <f t="shared" si="0"/>
        <v>4.4285714285714288</v>
      </c>
      <c r="X14" s="2">
        <f t="shared" si="0"/>
        <v>4.2857142857142856</v>
      </c>
      <c r="Y14" s="2">
        <f t="shared" si="0"/>
        <v>4.4285714285714288</v>
      </c>
      <c r="Z14" s="2">
        <f t="shared" si="0"/>
        <v>4.4285714285714288</v>
      </c>
      <c r="AA14" s="2">
        <f t="shared" si="0"/>
        <v>4.2857142857142856</v>
      </c>
      <c r="AB14" s="2">
        <f t="shared" si="0"/>
        <v>4.4285714285714288</v>
      </c>
      <c r="AC14" s="2">
        <f t="shared" si="0"/>
        <v>4.2857142857142856</v>
      </c>
      <c r="AD14" s="3">
        <f>(AE12-AD12)/7</f>
        <v>4.4285714285714288</v>
      </c>
      <c r="AE14" s="59"/>
      <c r="AF14" s="4"/>
      <c r="AG14" s="4"/>
      <c r="AH14" s="4"/>
      <c r="AI14"/>
      <c r="AJ14"/>
      <c r="AK14"/>
      <c r="AL14"/>
      <c r="AM14"/>
      <c r="AN14"/>
      <c r="AR14" s="23"/>
      <c r="AS14" s="23"/>
      <c r="AT14" s="23"/>
      <c r="AU14" s="23"/>
      <c r="AV14" s="23"/>
    </row>
    <row r="15" spans="1:50" s="28" customFormat="1" x14ac:dyDescent="0.2">
      <c r="A15" s="34"/>
      <c r="B15" s="23"/>
      <c r="C15" s="332" t="s">
        <v>5</v>
      </c>
      <c r="D15" s="333"/>
      <c r="E15" s="333"/>
      <c r="F15" s="333"/>
      <c r="G15" s="1">
        <v>1</v>
      </c>
      <c r="H15" s="2">
        <f t="shared" ref="H15:X15" si="1">G15</f>
        <v>1</v>
      </c>
      <c r="I15" s="2">
        <f t="shared" si="1"/>
        <v>1</v>
      </c>
      <c r="J15" s="2">
        <f t="shared" si="1"/>
        <v>1</v>
      </c>
      <c r="K15" s="2">
        <f t="shared" si="1"/>
        <v>1</v>
      </c>
      <c r="L15" s="2">
        <f t="shared" si="1"/>
        <v>1</v>
      </c>
      <c r="M15" s="2">
        <v>1.05</v>
      </c>
      <c r="N15" s="2">
        <f t="shared" si="1"/>
        <v>1.05</v>
      </c>
      <c r="O15" s="2">
        <f t="shared" si="1"/>
        <v>1.05</v>
      </c>
      <c r="P15" s="2">
        <f t="shared" si="1"/>
        <v>1.05</v>
      </c>
      <c r="Q15" s="2">
        <f t="shared" si="1"/>
        <v>1.05</v>
      </c>
      <c r="R15" s="3">
        <f t="shared" si="1"/>
        <v>1.05</v>
      </c>
      <c r="S15" s="1">
        <f t="shared" si="1"/>
        <v>1.05</v>
      </c>
      <c r="T15" s="2">
        <f t="shared" si="1"/>
        <v>1.05</v>
      </c>
      <c r="U15" s="2">
        <f t="shared" si="1"/>
        <v>1.05</v>
      </c>
      <c r="V15" s="2">
        <f t="shared" si="1"/>
        <v>1.05</v>
      </c>
      <c r="W15" s="2">
        <f t="shared" si="1"/>
        <v>1.05</v>
      </c>
      <c r="X15" s="2">
        <f t="shared" si="1"/>
        <v>1.05</v>
      </c>
      <c r="Y15" s="2">
        <f>X15*1.05</f>
        <v>1.1025</v>
      </c>
      <c r="Z15" s="2">
        <f t="shared" ref="Z15" si="2">Y15</f>
        <v>1.1025</v>
      </c>
      <c r="AA15" s="2">
        <f>Z15</f>
        <v>1.1025</v>
      </c>
      <c r="AB15" s="2">
        <f>AA15</f>
        <v>1.1025</v>
      </c>
      <c r="AC15" s="2">
        <f>AB15</f>
        <v>1.1025</v>
      </c>
      <c r="AD15" s="3">
        <f>AC15</f>
        <v>1.1025</v>
      </c>
      <c r="AE15" s="111"/>
      <c r="AF15" s="4"/>
      <c r="AG15" s="4"/>
      <c r="AH15" s="4"/>
      <c r="AI15"/>
      <c r="AJ15"/>
      <c r="AK15"/>
      <c r="AL15"/>
      <c r="AM15"/>
      <c r="AN15"/>
      <c r="AR15" s="23"/>
      <c r="AS15" s="23"/>
      <c r="AT15" s="23"/>
      <c r="AU15" s="23"/>
      <c r="AV15" s="23"/>
    </row>
    <row r="16" spans="1:50" x14ac:dyDescent="0.2">
      <c r="A16" s="34"/>
      <c r="C16" s="29" t="s">
        <v>37</v>
      </c>
      <c r="D16" s="21"/>
      <c r="E16" s="61" t="s">
        <v>79</v>
      </c>
      <c r="F16" s="12"/>
      <c r="G16" s="5"/>
      <c r="H16" s="6"/>
      <c r="I16" s="6"/>
      <c r="J16" s="6"/>
      <c r="K16" s="6"/>
      <c r="L16" s="6"/>
      <c r="M16" s="6"/>
      <c r="N16" s="6"/>
      <c r="O16" s="6"/>
      <c r="P16" s="6"/>
      <c r="Q16" s="6"/>
      <c r="R16" s="15"/>
      <c r="S16" s="5"/>
      <c r="T16" s="6"/>
      <c r="U16" s="6"/>
      <c r="V16" s="6"/>
      <c r="W16" s="6"/>
      <c r="X16" s="6"/>
      <c r="Y16" s="6"/>
      <c r="Z16" s="6"/>
      <c r="AA16" s="6"/>
      <c r="AB16" s="6"/>
      <c r="AC16" s="6"/>
      <c r="AD16" s="7"/>
      <c r="AE16" s="13"/>
      <c r="AF16" s="8"/>
      <c r="AG16" s="8"/>
      <c r="AH16" s="8"/>
      <c r="AI16"/>
      <c r="AJ16"/>
      <c r="AK16"/>
      <c r="AL16"/>
      <c r="AM16"/>
      <c r="AN16"/>
      <c r="AR16" s="23"/>
      <c r="AW16" s="22"/>
      <c r="AX16" s="22"/>
    </row>
    <row r="17" spans="1:50" x14ac:dyDescent="0.2">
      <c r="A17" s="35">
        <v>10876.281755196305</v>
      </c>
      <c r="C17" s="53"/>
      <c r="D17" s="58" t="s">
        <v>14</v>
      </c>
      <c r="E17" s="71">
        <f t="shared" ref="E17:E26" si="3">A17*0.9</f>
        <v>9788.6535796766748</v>
      </c>
      <c r="F17" s="54"/>
      <c r="G17" s="63"/>
      <c r="H17" s="41"/>
      <c r="I17" s="41"/>
      <c r="J17" s="41"/>
      <c r="K17" s="41"/>
      <c r="L17" s="41"/>
      <c r="M17" s="41"/>
      <c r="N17" s="41"/>
      <c r="O17" s="41"/>
      <c r="P17" s="41"/>
      <c r="Q17" s="41"/>
      <c r="R17" s="75"/>
      <c r="S17" s="42"/>
      <c r="T17" s="41"/>
      <c r="U17" s="41"/>
      <c r="V17" s="41"/>
      <c r="W17" s="41"/>
      <c r="X17" s="41"/>
      <c r="Y17" s="41"/>
      <c r="Z17" s="41"/>
      <c r="AA17" s="41"/>
      <c r="AB17" s="41"/>
      <c r="AC17" s="41"/>
      <c r="AD17" s="41"/>
      <c r="AE17" s="112"/>
      <c r="AF17" s="30"/>
      <c r="AG17" s="57"/>
      <c r="AH17" s="30"/>
      <c r="AI17"/>
      <c r="AJ17"/>
      <c r="AK17"/>
      <c r="AL17"/>
      <c r="AM17"/>
      <c r="AN17"/>
      <c r="AR17" s="23"/>
      <c r="AW17" s="22"/>
      <c r="AX17" s="22"/>
    </row>
    <row r="18" spans="1:50" x14ac:dyDescent="0.2">
      <c r="A18" s="35">
        <v>9887.5288683602776</v>
      </c>
      <c r="C18" s="53"/>
      <c r="D18" s="58" t="s">
        <v>12</v>
      </c>
      <c r="E18" s="71">
        <f t="shared" si="3"/>
        <v>8898.7759815242498</v>
      </c>
      <c r="F18" s="54"/>
      <c r="G18" s="63"/>
      <c r="H18" s="41"/>
      <c r="I18" s="41"/>
      <c r="J18" s="41"/>
      <c r="K18" s="41"/>
      <c r="L18" s="41"/>
      <c r="M18" s="41"/>
      <c r="N18" s="41"/>
      <c r="O18" s="41"/>
      <c r="P18" s="41"/>
      <c r="Q18" s="41"/>
      <c r="R18" s="76"/>
      <c r="S18" s="42"/>
      <c r="T18" s="41"/>
      <c r="U18" s="41"/>
      <c r="V18" s="41"/>
      <c r="W18" s="41"/>
      <c r="X18" s="41"/>
      <c r="Y18" s="41"/>
      <c r="Z18" s="41"/>
      <c r="AA18" s="41"/>
      <c r="AB18" s="41"/>
      <c r="AC18" s="41"/>
      <c r="AD18" s="41"/>
      <c r="AE18" s="112"/>
      <c r="AF18" s="30"/>
      <c r="AG18" s="57"/>
      <c r="AH18" s="30"/>
      <c r="AI18"/>
      <c r="AJ18"/>
      <c r="AK18"/>
      <c r="AL18"/>
      <c r="AM18"/>
      <c r="AN18"/>
      <c r="AR18" s="23"/>
      <c r="AW18" s="22"/>
      <c r="AX18" s="22"/>
    </row>
    <row r="19" spans="1:50" x14ac:dyDescent="0.2">
      <c r="A19" s="35">
        <v>6464.8960739030026</v>
      </c>
      <c r="C19" s="53"/>
      <c r="D19" s="58" t="s">
        <v>11</v>
      </c>
      <c r="E19" s="71">
        <f t="shared" si="3"/>
        <v>5818.4064665127025</v>
      </c>
      <c r="F19" s="54"/>
      <c r="G19" s="63"/>
      <c r="H19" s="41"/>
      <c r="I19" s="41"/>
      <c r="J19" s="41"/>
      <c r="K19" s="41"/>
      <c r="L19" s="41"/>
      <c r="M19" s="41"/>
      <c r="N19" s="41"/>
      <c r="O19" s="41"/>
      <c r="P19" s="41"/>
      <c r="Q19" s="41"/>
      <c r="R19" s="76">
        <v>0.02</v>
      </c>
      <c r="S19" s="42"/>
      <c r="T19" s="41"/>
      <c r="U19" s="41"/>
      <c r="V19" s="41"/>
      <c r="W19" s="41"/>
      <c r="X19" s="41"/>
      <c r="Y19" s="41"/>
      <c r="Z19" s="41"/>
      <c r="AA19" s="41"/>
      <c r="AB19" s="41"/>
      <c r="AC19" s="41"/>
      <c r="AD19" s="41"/>
      <c r="AE19" s="112"/>
      <c r="AF19" s="30">
        <f>SUMPRODUCT(G19:AD19,$G$14:$AD$14,$G$15:$AD$15)*(E19)</f>
        <v>541.11180138568136</v>
      </c>
      <c r="AG19" s="57">
        <f t="shared" ref="AG19:AG26" si="4">COUNT(G19:AD19)</f>
        <v>1</v>
      </c>
      <c r="AH19" s="30">
        <f t="shared" ref="AH19:AH26" si="5">AF19/AG19</f>
        <v>541.11180138568136</v>
      </c>
      <c r="AI19"/>
      <c r="AJ19"/>
      <c r="AK19"/>
      <c r="AL19"/>
      <c r="AM19"/>
      <c r="AN19"/>
      <c r="AR19" s="23"/>
      <c r="AW19" s="22"/>
      <c r="AX19" s="22"/>
    </row>
    <row r="20" spans="1:50" x14ac:dyDescent="0.2">
      <c r="A20" s="35">
        <v>5391.6859122401847</v>
      </c>
      <c r="C20" s="53"/>
      <c r="D20" s="58" t="s">
        <v>8</v>
      </c>
      <c r="E20" s="71">
        <f t="shared" si="3"/>
        <v>4852.5173210161665</v>
      </c>
      <c r="F20" s="54"/>
      <c r="G20" s="63">
        <v>0.1</v>
      </c>
      <c r="H20" s="41"/>
      <c r="I20" s="41"/>
      <c r="J20" s="41"/>
      <c r="K20" s="41"/>
      <c r="L20" s="41"/>
      <c r="M20" s="41"/>
      <c r="N20" s="41"/>
      <c r="O20" s="41"/>
      <c r="P20" s="41"/>
      <c r="Q20" s="41"/>
      <c r="R20" s="76"/>
      <c r="S20" s="42"/>
      <c r="T20" s="41"/>
      <c r="U20" s="41"/>
      <c r="V20" s="41"/>
      <c r="W20" s="41"/>
      <c r="X20" s="41"/>
      <c r="Y20" s="41"/>
      <c r="Z20" s="41"/>
      <c r="AA20" s="41"/>
      <c r="AB20" s="41"/>
      <c r="AC20" s="41"/>
      <c r="AD20" s="41"/>
      <c r="AE20" s="112"/>
      <c r="AF20" s="30">
        <f>SUMPRODUCT(G20:AD20,$G$14:$AD$14,$G$15:$AD$15)*(E20)</f>
        <v>2148.9719564500169</v>
      </c>
      <c r="AG20" s="57">
        <f t="shared" si="4"/>
        <v>1</v>
      </c>
      <c r="AH20" s="30">
        <f t="shared" si="5"/>
        <v>2148.9719564500169</v>
      </c>
      <c r="AI20"/>
      <c r="AJ20"/>
      <c r="AK20"/>
      <c r="AL20"/>
      <c r="AM20"/>
      <c r="AN20"/>
      <c r="AR20" s="23"/>
      <c r="AW20" s="22"/>
      <c r="AX20" s="22"/>
    </row>
    <row r="21" spans="1:50" x14ac:dyDescent="0.2">
      <c r="A21" s="35">
        <v>5391.6859122401847</v>
      </c>
      <c r="C21" s="53"/>
      <c r="D21" s="58" t="s">
        <v>9</v>
      </c>
      <c r="E21" s="71">
        <f t="shared" si="3"/>
        <v>4852.5173210161665</v>
      </c>
      <c r="F21" s="54"/>
      <c r="G21" s="63"/>
      <c r="H21" s="41"/>
      <c r="I21" s="41"/>
      <c r="J21" s="41"/>
      <c r="K21" s="41"/>
      <c r="L21" s="41"/>
      <c r="M21" s="41"/>
      <c r="N21" s="41"/>
      <c r="O21" s="41"/>
      <c r="P21" s="41"/>
      <c r="Q21" s="41"/>
      <c r="R21" s="76"/>
      <c r="S21" s="42"/>
      <c r="T21" s="41"/>
      <c r="U21" s="41"/>
      <c r="V21" s="41"/>
      <c r="W21" s="41"/>
      <c r="X21" s="41"/>
      <c r="Y21" s="41"/>
      <c r="Z21" s="41"/>
      <c r="AA21" s="41"/>
      <c r="AB21" s="41"/>
      <c r="AC21" s="41"/>
      <c r="AD21" s="41"/>
      <c r="AE21" s="112"/>
      <c r="AF21" s="30"/>
      <c r="AG21" s="57"/>
      <c r="AH21" s="30"/>
      <c r="AI21"/>
      <c r="AJ21"/>
      <c r="AK21"/>
      <c r="AL21"/>
      <c r="AM21"/>
      <c r="AN21"/>
      <c r="AR21" s="23"/>
      <c r="AW21" s="22"/>
      <c r="AX21" s="22"/>
    </row>
    <row r="22" spans="1:50" x14ac:dyDescent="0.2">
      <c r="A22" s="35">
        <v>3802.7713625866049</v>
      </c>
      <c r="C22" s="53"/>
      <c r="D22" s="58" t="s">
        <v>28</v>
      </c>
      <c r="E22" s="71">
        <f t="shared" si="3"/>
        <v>3422.4942263279445</v>
      </c>
      <c r="F22" s="54"/>
      <c r="G22" s="63"/>
      <c r="H22" s="41"/>
      <c r="I22" s="41"/>
      <c r="J22" s="41"/>
      <c r="K22" s="41"/>
      <c r="L22" s="41"/>
      <c r="M22" s="41"/>
      <c r="N22" s="41"/>
      <c r="O22" s="41"/>
      <c r="P22" s="41"/>
      <c r="Q22" s="41"/>
      <c r="R22" s="76"/>
      <c r="S22" s="42"/>
      <c r="T22" s="41"/>
      <c r="U22" s="41"/>
      <c r="V22" s="41"/>
      <c r="W22" s="41"/>
      <c r="X22" s="41"/>
      <c r="Y22" s="41"/>
      <c r="Z22" s="41"/>
      <c r="AA22" s="41"/>
      <c r="AB22" s="41"/>
      <c r="AC22" s="41"/>
      <c r="AD22" s="41"/>
      <c r="AE22" s="112"/>
      <c r="AF22" s="30"/>
      <c r="AG22" s="57"/>
      <c r="AH22" s="30"/>
      <c r="AI22"/>
      <c r="AJ22"/>
      <c r="AK22"/>
      <c r="AL22"/>
      <c r="AM22"/>
      <c r="AN22"/>
      <c r="AR22" s="23"/>
      <c r="AW22" s="22"/>
      <c r="AX22" s="22"/>
    </row>
    <row r="23" spans="1:50" x14ac:dyDescent="0.2">
      <c r="A23" s="35">
        <v>3004.1570438799076</v>
      </c>
      <c r="C23" s="53"/>
      <c r="D23" s="58" t="s">
        <v>10</v>
      </c>
      <c r="E23" s="71">
        <f t="shared" si="3"/>
        <v>2703.7413394919167</v>
      </c>
      <c r="F23" s="54"/>
      <c r="G23" s="63"/>
      <c r="H23" s="41"/>
      <c r="I23" s="41"/>
      <c r="J23" s="41"/>
      <c r="K23" s="41"/>
      <c r="L23" s="41"/>
      <c r="M23" s="41"/>
      <c r="N23" s="41"/>
      <c r="O23" s="41"/>
      <c r="P23" s="41"/>
      <c r="Q23" s="41"/>
      <c r="R23" s="76"/>
      <c r="S23" s="42"/>
      <c r="T23" s="41"/>
      <c r="U23" s="41"/>
      <c r="V23" s="41"/>
      <c r="W23" s="41"/>
      <c r="X23" s="41"/>
      <c r="Y23" s="41"/>
      <c r="Z23" s="41"/>
      <c r="AA23" s="41"/>
      <c r="AB23" s="41"/>
      <c r="AC23" s="41"/>
      <c r="AD23" s="41"/>
      <c r="AE23" s="112"/>
      <c r="AF23" s="30"/>
      <c r="AG23" s="57"/>
      <c r="AH23" s="30"/>
      <c r="AI23"/>
      <c r="AJ23"/>
      <c r="AK23"/>
      <c r="AL23"/>
      <c r="AM23"/>
      <c r="AN23"/>
      <c r="AR23" s="23"/>
      <c r="AW23" s="22"/>
      <c r="AX23" s="22"/>
    </row>
    <row r="24" spans="1:50" x14ac:dyDescent="0.2">
      <c r="A24" s="35">
        <v>5057.7367205542723</v>
      </c>
      <c r="C24" s="53"/>
      <c r="D24" s="58" t="s">
        <v>29</v>
      </c>
      <c r="E24" s="71">
        <f t="shared" si="3"/>
        <v>4551.9630484988456</v>
      </c>
      <c r="F24" s="54"/>
      <c r="G24" s="63">
        <v>1</v>
      </c>
      <c r="H24" s="41">
        <v>1</v>
      </c>
      <c r="I24" s="41">
        <v>0.5</v>
      </c>
      <c r="J24" s="41">
        <v>0.25</v>
      </c>
      <c r="K24" s="41">
        <v>0.1</v>
      </c>
      <c r="L24" s="41"/>
      <c r="M24" s="41"/>
      <c r="N24" s="41"/>
      <c r="O24" s="41"/>
      <c r="P24" s="41"/>
      <c r="Q24" s="41"/>
      <c r="R24" s="76"/>
      <c r="S24" s="42"/>
      <c r="T24" s="41"/>
      <c r="U24" s="41"/>
      <c r="V24" s="41"/>
      <c r="W24" s="41"/>
      <c r="X24" s="41"/>
      <c r="Y24" s="41"/>
      <c r="Z24" s="41"/>
      <c r="AA24" s="41"/>
      <c r="AB24" s="41"/>
      <c r="AC24" s="41"/>
      <c r="AD24" s="41"/>
      <c r="AE24" s="112"/>
      <c r="AF24" s="30">
        <f>SUMPRODUCT(G24:AD24,$G$14:$AD$14,$G$15:$AD$15)*(E24)</f>
        <v>55338.865061035962</v>
      </c>
      <c r="AG24" s="57">
        <f t="shared" si="4"/>
        <v>5</v>
      </c>
      <c r="AH24" s="30">
        <f t="shared" si="5"/>
        <v>11067.773012207192</v>
      </c>
      <c r="AI24"/>
      <c r="AJ24"/>
      <c r="AK24"/>
      <c r="AL24"/>
      <c r="AM24"/>
      <c r="AN24"/>
      <c r="AR24" s="23"/>
      <c r="AW24" s="22"/>
      <c r="AX24" s="22"/>
    </row>
    <row r="25" spans="1:50" x14ac:dyDescent="0.2">
      <c r="A25" s="35">
        <v>4183.1408775981527</v>
      </c>
      <c r="C25" s="53"/>
      <c r="D25" s="58" t="s">
        <v>30</v>
      </c>
      <c r="E25" s="71">
        <f t="shared" si="3"/>
        <v>3764.8267898383374</v>
      </c>
      <c r="F25" s="54"/>
      <c r="G25" s="63">
        <v>1</v>
      </c>
      <c r="H25" s="41">
        <v>0.75</v>
      </c>
      <c r="I25" s="41">
        <v>0.75</v>
      </c>
      <c r="J25" s="41">
        <v>0.5</v>
      </c>
      <c r="K25" s="41">
        <v>0.5</v>
      </c>
      <c r="L25" s="41">
        <v>0.5</v>
      </c>
      <c r="M25" s="41">
        <v>0.25</v>
      </c>
      <c r="N25" s="41">
        <v>0.25</v>
      </c>
      <c r="O25" s="41">
        <v>0.25</v>
      </c>
      <c r="P25" s="41">
        <v>0.25</v>
      </c>
      <c r="Q25" s="41">
        <v>0.25</v>
      </c>
      <c r="R25" s="76">
        <v>0.4</v>
      </c>
      <c r="S25" s="42">
        <v>0.1</v>
      </c>
      <c r="T25" s="41">
        <v>0.1</v>
      </c>
      <c r="U25" s="41">
        <v>0.1</v>
      </c>
      <c r="V25" s="41">
        <v>0.1</v>
      </c>
      <c r="W25" s="41">
        <v>0.1</v>
      </c>
      <c r="X25" s="41">
        <v>0.1</v>
      </c>
      <c r="Y25" s="41">
        <v>0.1</v>
      </c>
      <c r="Z25" s="41">
        <v>0.1</v>
      </c>
      <c r="AA25" s="41">
        <v>0.1</v>
      </c>
      <c r="AB25" s="41">
        <v>0.05</v>
      </c>
      <c r="AC25" s="41">
        <v>0.05</v>
      </c>
      <c r="AD25" s="41">
        <v>0.05</v>
      </c>
      <c r="AE25" s="112"/>
      <c r="AF25" s="30">
        <f>SUMPRODUCT(G25:AD25,$G$14:$AD$14,$G$15:$AD$15)*(E25)</f>
        <v>112007.36182448038</v>
      </c>
      <c r="AG25" s="57">
        <f t="shared" si="4"/>
        <v>24</v>
      </c>
      <c r="AH25" s="30">
        <f t="shared" si="5"/>
        <v>4666.9734093533489</v>
      </c>
      <c r="AI25"/>
      <c r="AJ25"/>
      <c r="AK25"/>
      <c r="AL25"/>
      <c r="AM25"/>
      <c r="AN25"/>
      <c r="AR25" s="23"/>
      <c r="AW25" s="22"/>
      <c r="AX25" s="22"/>
    </row>
    <row r="26" spans="1:50" x14ac:dyDescent="0.2">
      <c r="A26" s="35">
        <v>4800</v>
      </c>
      <c r="C26" s="53"/>
      <c r="D26" s="58" t="s">
        <v>31</v>
      </c>
      <c r="E26" s="71">
        <f t="shared" si="3"/>
        <v>4320</v>
      </c>
      <c r="F26" s="54"/>
      <c r="G26" s="63">
        <v>1</v>
      </c>
      <c r="H26" s="41">
        <v>1</v>
      </c>
      <c r="I26" s="41">
        <v>1</v>
      </c>
      <c r="J26" s="41">
        <v>1</v>
      </c>
      <c r="K26" s="41">
        <v>0.5</v>
      </c>
      <c r="L26" s="41">
        <v>0.5</v>
      </c>
      <c r="M26" s="41">
        <v>0.25</v>
      </c>
      <c r="N26" s="41">
        <v>0.25</v>
      </c>
      <c r="O26" s="41">
        <v>0.25</v>
      </c>
      <c r="P26" s="41">
        <v>0.25</v>
      </c>
      <c r="Q26" s="41">
        <v>0.25</v>
      </c>
      <c r="R26" s="76">
        <v>0.4</v>
      </c>
      <c r="S26" s="42"/>
      <c r="T26" s="41"/>
      <c r="U26" s="41"/>
      <c r="V26" s="41"/>
      <c r="W26" s="41"/>
      <c r="X26" s="41"/>
      <c r="Y26" s="41"/>
      <c r="Z26" s="41"/>
      <c r="AA26" s="41"/>
      <c r="AB26" s="41"/>
      <c r="AC26" s="41"/>
      <c r="AD26" s="41"/>
      <c r="AE26" s="112"/>
      <c r="AF26" s="30">
        <f>SUMPRODUCT(G26:AD26,$G$14:$AD$14,$G$15:$AD$15)*(E26)</f>
        <v>125701.20000000001</v>
      </c>
      <c r="AG26" s="57">
        <f t="shared" si="4"/>
        <v>12</v>
      </c>
      <c r="AH26" s="30">
        <f t="shared" si="5"/>
        <v>10475.1</v>
      </c>
      <c r="AI26"/>
      <c r="AJ26"/>
      <c r="AK26"/>
      <c r="AL26"/>
      <c r="AM26"/>
      <c r="AN26"/>
      <c r="AR26" s="23"/>
      <c r="AW26" s="22"/>
      <c r="AX26" s="22"/>
    </row>
    <row r="27" spans="1:50" ht="16" thickBot="1" x14ac:dyDescent="0.25">
      <c r="A27" s="35"/>
      <c r="C27" s="53"/>
      <c r="D27" s="58"/>
      <c r="E27" s="71"/>
      <c r="F27" s="54"/>
      <c r="G27" s="63"/>
      <c r="H27" s="41"/>
      <c r="I27" s="41"/>
      <c r="J27" s="41"/>
      <c r="K27" s="41"/>
      <c r="L27" s="41"/>
      <c r="M27" s="41"/>
      <c r="N27" s="41"/>
      <c r="O27" s="41"/>
      <c r="P27" s="41"/>
      <c r="Q27" s="41"/>
      <c r="R27" s="76"/>
      <c r="S27" s="42"/>
      <c r="T27" s="41"/>
      <c r="U27" s="41"/>
      <c r="V27" s="41"/>
      <c r="W27" s="41"/>
      <c r="X27" s="41"/>
      <c r="Y27" s="41"/>
      <c r="Z27" s="41"/>
      <c r="AA27" s="41"/>
      <c r="AB27" s="41"/>
      <c r="AC27" s="41"/>
      <c r="AD27" s="41"/>
      <c r="AE27" s="112"/>
      <c r="AF27" s="56"/>
      <c r="AG27" s="57"/>
      <c r="AH27" s="56"/>
      <c r="AI27"/>
      <c r="AJ27"/>
      <c r="AK27"/>
      <c r="AL27"/>
      <c r="AM27"/>
      <c r="AN27"/>
      <c r="AR27" s="23"/>
      <c r="AW27" s="22"/>
      <c r="AX27" s="22"/>
    </row>
    <row r="28" spans="1:50" ht="16" thickBot="1" x14ac:dyDescent="0.25">
      <c r="A28" s="36"/>
      <c r="C28" s="327" t="s">
        <v>36</v>
      </c>
      <c r="D28" s="328"/>
      <c r="E28" s="329"/>
      <c r="F28" s="20"/>
      <c r="G28" s="11">
        <f t="shared" ref="G28:AD28" si="6">SUMPRODUCT(($A$17:$A$27),(G17:G27))*(G14)*(G15)</f>
        <v>64568.775981524253</v>
      </c>
      <c r="H28" s="98">
        <f t="shared" si="6"/>
        <v>51980.369515011545</v>
      </c>
      <c r="I28" s="98">
        <f t="shared" si="6"/>
        <v>46350.420653249756</v>
      </c>
      <c r="J28" s="98">
        <f t="shared" si="6"/>
        <v>34954.30550973276</v>
      </c>
      <c r="K28" s="98">
        <f t="shared" si="6"/>
        <v>22131.095348069943</v>
      </c>
      <c r="L28" s="98">
        <f t="shared" si="6"/>
        <v>19249.587594853183</v>
      </c>
      <c r="M28" s="98">
        <f t="shared" si="6"/>
        <v>10442.901270207853</v>
      </c>
      <c r="N28" s="98">
        <f t="shared" si="6"/>
        <v>10442.901270207853</v>
      </c>
      <c r="O28" s="98">
        <f t="shared" si="6"/>
        <v>10106.033487297922</v>
      </c>
      <c r="P28" s="98">
        <f t="shared" si="6"/>
        <v>10442.901270207853</v>
      </c>
      <c r="Q28" s="98">
        <f t="shared" si="6"/>
        <v>10106.033487297922</v>
      </c>
      <c r="R28" s="99">
        <f t="shared" si="6"/>
        <v>17309.877367205543</v>
      </c>
      <c r="S28" s="11">
        <f t="shared" si="6"/>
        <v>1945.1605080831412</v>
      </c>
      <c r="T28" s="9">
        <f t="shared" si="6"/>
        <v>1819.6662817551967</v>
      </c>
      <c r="U28" s="9">
        <f t="shared" si="6"/>
        <v>1945.1605080831412</v>
      </c>
      <c r="V28" s="9">
        <f t="shared" si="6"/>
        <v>1882.4133949191687</v>
      </c>
      <c r="W28" s="9">
        <f t="shared" si="6"/>
        <v>1945.1605080831412</v>
      </c>
      <c r="X28" s="9">
        <f t="shared" si="6"/>
        <v>1882.4133949191687</v>
      </c>
      <c r="Y28" s="9">
        <f t="shared" si="6"/>
        <v>2042.4185334872982</v>
      </c>
      <c r="Z28" s="9">
        <f t="shared" si="6"/>
        <v>2042.4185334872982</v>
      </c>
      <c r="AA28" s="9">
        <f t="shared" si="6"/>
        <v>1976.5340646651273</v>
      </c>
      <c r="AB28" s="9">
        <f t="shared" si="6"/>
        <v>1021.2092667436491</v>
      </c>
      <c r="AC28" s="9">
        <f t="shared" si="6"/>
        <v>988.26703233256364</v>
      </c>
      <c r="AD28" s="10">
        <f t="shared" si="6"/>
        <v>1021.2092667436491</v>
      </c>
      <c r="AE28" s="14"/>
      <c r="AF28" s="19">
        <f>SUM(G28:AD28)</f>
        <v>328597.23404816893</v>
      </c>
      <c r="AG28" s="106">
        <f>COUNT(G28:AD28)</f>
        <v>24</v>
      </c>
      <c r="AH28" s="18">
        <f>AF28/AG28</f>
        <v>13691.551418673705</v>
      </c>
      <c r="AI28"/>
      <c r="AJ28" s="162"/>
      <c r="AL28"/>
      <c r="AM28"/>
      <c r="AN28"/>
      <c r="AR28" s="23"/>
      <c r="AW28" s="22"/>
      <c r="AX28" s="22"/>
    </row>
    <row r="29" spans="1:50" customFormat="1" ht="6" customHeight="1" thickBot="1" x14ac:dyDescent="0.25">
      <c r="AO29" s="22"/>
      <c r="AP29" s="22"/>
      <c r="AQ29" s="22"/>
    </row>
    <row r="30" spans="1:50" x14ac:dyDescent="0.2">
      <c r="A30" s="34"/>
      <c r="C30" s="86" t="s">
        <v>33</v>
      </c>
      <c r="D30" s="87"/>
      <c r="E30" s="88"/>
      <c r="F30" s="89"/>
      <c r="G30" s="90"/>
      <c r="H30" s="91"/>
      <c r="I30" s="91"/>
      <c r="J30" s="91"/>
      <c r="K30" s="91"/>
      <c r="L30" s="91"/>
      <c r="M30" s="91"/>
      <c r="N30" s="91"/>
      <c r="O30" s="91"/>
      <c r="P30" s="91"/>
      <c r="Q30" s="91"/>
      <c r="R30" s="92"/>
      <c r="S30" s="90"/>
      <c r="T30" s="91"/>
      <c r="U30" s="91"/>
      <c r="V30" s="91"/>
      <c r="W30" s="91"/>
      <c r="X30" s="91"/>
      <c r="Y30" s="91"/>
      <c r="Z30" s="91"/>
      <c r="AA30" s="91"/>
      <c r="AB30" s="91"/>
      <c r="AC30" s="91"/>
      <c r="AD30" s="93"/>
      <c r="AE30" s="94"/>
      <c r="AF30" s="95"/>
      <c r="AG30" s="95"/>
      <c r="AH30" s="95"/>
      <c r="AI30"/>
      <c r="AJ30"/>
      <c r="AK30"/>
      <c r="AL30"/>
      <c r="AM30"/>
      <c r="AN30"/>
      <c r="AR30" s="23"/>
      <c r="AW30" s="22"/>
      <c r="AX30" s="22"/>
    </row>
    <row r="31" spans="1:50" x14ac:dyDescent="0.2">
      <c r="A31" s="35">
        <f>$F$2*0.00001</f>
        <v>1250</v>
      </c>
      <c r="C31" s="53"/>
      <c r="D31" s="58" t="s">
        <v>20</v>
      </c>
      <c r="E31" s="62"/>
      <c r="F31" s="167"/>
      <c r="G31" s="77"/>
      <c r="H31" s="78"/>
      <c r="I31" s="78">
        <f>$A$31*0.8</f>
        <v>1000</v>
      </c>
      <c r="J31" s="78">
        <f t="shared" ref="J31:L31" si="7">$A$31*0.8</f>
        <v>1000</v>
      </c>
      <c r="K31" s="78">
        <f t="shared" si="7"/>
        <v>1000</v>
      </c>
      <c r="L31" s="78">
        <f t="shared" si="7"/>
        <v>1000</v>
      </c>
      <c r="M31" s="78">
        <f>$A$31*0.6</f>
        <v>750</v>
      </c>
      <c r="N31" s="78">
        <f t="shared" ref="N31:O31" si="8">$A$31*0.6</f>
        <v>750</v>
      </c>
      <c r="O31" s="78">
        <f t="shared" si="8"/>
        <v>750</v>
      </c>
      <c r="P31" s="78">
        <f>$A$31*0.4</f>
        <v>500</v>
      </c>
      <c r="Q31" s="78">
        <f>$A$31*0.4</f>
        <v>500</v>
      </c>
      <c r="R31" s="168">
        <f>$A$31*0.8</f>
        <v>1000</v>
      </c>
      <c r="S31" s="80">
        <f t="shared" ref="S31:AD31" si="9">$A$31*0.4</f>
        <v>500</v>
      </c>
      <c r="T31" s="78">
        <f t="shared" si="9"/>
        <v>500</v>
      </c>
      <c r="U31" s="78">
        <f t="shared" si="9"/>
        <v>500</v>
      </c>
      <c r="V31" s="78">
        <f t="shared" si="9"/>
        <v>500</v>
      </c>
      <c r="W31" s="78">
        <f t="shared" si="9"/>
        <v>500</v>
      </c>
      <c r="X31" s="78">
        <f t="shared" si="9"/>
        <v>500</v>
      </c>
      <c r="Y31" s="78">
        <f t="shared" si="9"/>
        <v>500</v>
      </c>
      <c r="Z31" s="78">
        <f t="shared" si="9"/>
        <v>500</v>
      </c>
      <c r="AA31" s="78">
        <f t="shared" si="9"/>
        <v>500</v>
      </c>
      <c r="AB31" s="78">
        <f t="shared" si="9"/>
        <v>500</v>
      </c>
      <c r="AC31" s="78">
        <f t="shared" si="9"/>
        <v>500</v>
      </c>
      <c r="AD31" s="78">
        <f t="shared" si="9"/>
        <v>500</v>
      </c>
      <c r="AE31" s="113"/>
      <c r="AF31" s="56">
        <f>SUM(G31:AD31)</f>
        <v>14250</v>
      </c>
      <c r="AG31" s="57">
        <f>COUNT(G31:AD31)</f>
        <v>22</v>
      </c>
      <c r="AH31" s="30">
        <f>AF31/AG31</f>
        <v>647.72727272727275</v>
      </c>
      <c r="AI31"/>
      <c r="AJ31"/>
      <c r="AK31"/>
      <c r="AL31"/>
      <c r="AM31"/>
      <c r="AN31"/>
      <c r="AO31"/>
      <c r="AP31"/>
      <c r="AQ31"/>
      <c r="AR31"/>
      <c r="AS31"/>
      <c r="AW31" s="22"/>
      <c r="AX31" s="22"/>
    </row>
    <row r="32" spans="1:50" x14ac:dyDescent="0.2">
      <c r="A32" s="35">
        <f>$F$2*0.00001</f>
        <v>1250</v>
      </c>
      <c r="C32" s="53"/>
      <c r="D32" s="58" t="s">
        <v>21</v>
      </c>
      <c r="E32" s="62"/>
      <c r="F32" s="54"/>
      <c r="G32" s="77"/>
      <c r="H32" s="78">
        <f>$A$32*2</f>
        <v>2500</v>
      </c>
      <c r="I32" s="78">
        <f t="shared" ref="I32:K32" si="10">$A$32*2</f>
        <v>2500</v>
      </c>
      <c r="J32" s="78">
        <f t="shared" si="10"/>
        <v>2500</v>
      </c>
      <c r="K32" s="78">
        <f t="shared" si="10"/>
        <v>2500</v>
      </c>
      <c r="L32" s="78">
        <f>$A$32*4</f>
        <v>5000</v>
      </c>
      <c r="M32" s="78">
        <f>$A$32*4</f>
        <v>5000</v>
      </c>
      <c r="N32" s="78">
        <f t="shared" ref="N32" si="11">$A$32*2</f>
        <v>2500</v>
      </c>
      <c r="O32" s="78">
        <f>$A$32*0.8</f>
        <v>1000</v>
      </c>
      <c r="P32" s="78">
        <f>$A$32*0.8</f>
        <v>1000</v>
      </c>
      <c r="Q32" s="78">
        <f>$A$32*0.4</f>
        <v>500</v>
      </c>
      <c r="R32" s="79">
        <f>$A$32*2</f>
        <v>2500</v>
      </c>
      <c r="S32" s="80">
        <f t="shared" ref="S32:AD32" si="12">$A$32*0.4</f>
        <v>500</v>
      </c>
      <c r="T32" s="78">
        <f t="shared" si="12"/>
        <v>500</v>
      </c>
      <c r="U32" s="78">
        <f t="shared" si="12"/>
        <v>500</v>
      </c>
      <c r="V32" s="78">
        <f t="shared" si="12"/>
        <v>500</v>
      </c>
      <c r="W32" s="78">
        <f t="shared" si="12"/>
        <v>500</v>
      </c>
      <c r="X32" s="78">
        <f t="shared" si="12"/>
        <v>500</v>
      </c>
      <c r="Y32" s="78">
        <f t="shared" si="12"/>
        <v>500</v>
      </c>
      <c r="Z32" s="78">
        <f t="shared" si="12"/>
        <v>500</v>
      </c>
      <c r="AA32" s="78">
        <f t="shared" si="12"/>
        <v>500</v>
      </c>
      <c r="AB32" s="78">
        <f t="shared" si="12"/>
        <v>500</v>
      </c>
      <c r="AC32" s="78">
        <f t="shared" si="12"/>
        <v>500</v>
      </c>
      <c r="AD32" s="78">
        <f t="shared" si="12"/>
        <v>500</v>
      </c>
      <c r="AE32" s="113"/>
      <c r="AF32" s="56">
        <f>SUM(G32:AD32)</f>
        <v>33500</v>
      </c>
      <c r="AG32" s="57">
        <f>COUNT(G32:AD32)</f>
        <v>23</v>
      </c>
      <c r="AH32" s="30">
        <f>AF32/AG32</f>
        <v>1456.5217391304348</v>
      </c>
      <c r="AI32"/>
      <c r="AJ32"/>
      <c r="AK32"/>
      <c r="AL32"/>
      <c r="AM32"/>
      <c r="AN32"/>
      <c r="AO32"/>
      <c r="AP32"/>
      <c r="AQ32"/>
      <c r="AR32"/>
      <c r="AS32"/>
      <c r="AW32" s="22"/>
      <c r="AX32" s="22"/>
    </row>
    <row r="33" spans="1:50" x14ac:dyDescent="0.2">
      <c r="A33" s="35">
        <f>$F$2*0.00001</f>
        <v>1250</v>
      </c>
      <c r="C33" s="53"/>
      <c r="D33" s="58" t="s">
        <v>22</v>
      </c>
      <c r="E33" s="62"/>
      <c r="F33" s="54"/>
      <c r="G33" s="78">
        <f>$A$33*0.4</f>
        <v>500</v>
      </c>
      <c r="H33" s="78">
        <f t="shared" ref="H33:I33" si="13">$A$33*0.4</f>
        <v>500</v>
      </c>
      <c r="I33" s="78">
        <f t="shared" si="13"/>
        <v>500</v>
      </c>
      <c r="J33" s="78">
        <f>$A$33*0.2</f>
        <v>250</v>
      </c>
      <c r="K33" s="78">
        <f>$A$33*0.2</f>
        <v>250</v>
      </c>
      <c r="L33" s="78"/>
      <c r="M33" s="78"/>
      <c r="N33" s="78"/>
      <c r="O33" s="78"/>
      <c r="P33" s="78"/>
      <c r="Q33" s="78"/>
      <c r="R33" s="79"/>
      <c r="S33" s="80"/>
      <c r="T33" s="78"/>
      <c r="U33" s="78"/>
      <c r="V33" s="78"/>
      <c r="W33" s="78"/>
      <c r="X33" s="78"/>
      <c r="Y33" s="78"/>
      <c r="Z33" s="78"/>
      <c r="AA33" s="78"/>
      <c r="AB33" s="78"/>
      <c r="AC33" s="78"/>
      <c r="AD33" s="78"/>
      <c r="AE33" s="113"/>
      <c r="AF33" s="56">
        <f>SUM(G33:AD33)</f>
        <v>2000</v>
      </c>
      <c r="AG33" s="57">
        <f>COUNT(G33:AD33)</f>
        <v>5</v>
      </c>
      <c r="AH33" s="30">
        <f>AF33/AG33</f>
        <v>400</v>
      </c>
      <c r="AI33"/>
      <c r="AJ33"/>
      <c r="AK33"/>
      <c r="AL33"/>
      <c r="AM33"/>
      <c r="AN33"/>
      <c r="AO33"/>
      <c r="AP33"/>
      <c r="AQ33"/>
      <c r="AR33"/>
      <c r="AS33"/>
      <c r="AW33" s="22"/>
      <c r="AX33" s="22"/>
    </row>
    <row r="34" spans="1:50" x14ac:dyDescent="0.2">
      <c r="A34" s="35">
        <f>$F$2*0.00001</f>
        <v>1250</v>
      </c>
      <c r="C34" s="53"/>
      <c r="D34" s="58" t="s">
        <v>19</v>
      </c>
      <c r="E34" s="62"/>
      <c r="F34" s="54"/>
      <c r="G34" s="77"/>
      <c r="H34" s="78"/>
      <c r="I34" s="78">
        <f>$A$34*0.4</f>
        <v>500</v>
      </c>
      <c r="J34" s="78">
        <f>$A$34*0.4</f>
        <v>500</v>
      </c>
      <c r="K34" s="78"/>
      <c r="L34" s="78"/>
      <c r="M34" s="78"/>
      <c r="N34" s="78"/>
      <c r="O34" s="78"/>
      <c r="P34" s="78">
        <f>$A$34</f>
        <v>1250</v>
      </c>
      <c r="Q34" s="78">
        <f>$A$34</f>
        <v>1250</v>
      </c>
      <c r="R34" s="79"/>
      <c r="S34" s="80"/>
      <c r="T34" s="78"/>
      <c r="U34" s="78"/>
      <c r="V34" s="78"/>
      <c r="W34" s="78"/>
      <c r="X34" s="78"/>
      <c r="Y34" s="78"/>
      <c r="Z34" s="78"/>
      <c r="AA34" s="78"/>
      <c r="AB34" s="78"/>
      <c r="AC34" s="78"/>
      <c r="AD34" s="78"/>
      <c r="AE34" s="113"/>
      <c r="AF34" s="56">
        <f>SUM(G34:AD34)</f>
        <v>3500</v>
      </c>
      <c r="AG34" s="57">
        <f>COUNT(G34:AD34)</f>
        <v>4</v>
      </c>
      <c r="AH34" s="30">
        <f>AF34/AG34</f>
        <v>875</v>
      </c>
      <c r="AI34"/>
      <c r="AJ34"/>
      <c r="AK34"/>
      <c r="AL34"/>
      <c r="AM34"/>
      <c r="AN34"/>
      <c r="AO34"/>
      <c r="AP34"/>
      <c r="AQ34"/>
      <c r="AR34"/>
      <c r="AS34"/>
      <c r="AW34" s="22"/>
      <c r="AX34" s="22"/>
    </row>
    <row r="35" spans="1:50" ht="16" thickBot="1" x14ac:dyDescent="0.25">
      <c r="A35" s="35"/>
      <c r="C35" s="53"/>
      <c r="D35" s="58"/>
      <c r="E35" s="71"/>
      <c r="F35" s="54"/>
      <c r="G35" s="77"/>
      <c r="H35" s="78"/>
      <c r="I35" s="78"/>
      <c r="J35" s="78"/>
      <c r="K35" s="78"/>
      <c r="L35" s="78"/>
      <c r="M35" s="78"/>
      <c r="N35" s="78"/>
      <c r="O35" s="78"/>
      <c r="P35" s="78"/>
      <c r="Q35" s="78"/>
      <c r="R35" s="79"/>
      <c r="S35" s="80"/>
      <c r="T35" s="78"/>
      <c r="U35" s="78"/>
      <c r="V35" s="78"/>
      <c r="W35" s="78"/>
      <c r="X35" s="78"/>
      <c r="Y35" s="78"/>
      <c r="Z35" s="78"/>
      <c r="AA35" s="78"/>
      <c r="AB35" s="78"/>
      <c r="AC35" s="78"/>
      <c r="AD35" s="78"/>
      <c r="AE35" s="113"/>
      <c r="AF35" s="56"/>
      <c r="AG35" s="57"/>
      <c r="AH35" s="56"/>
      <c r="AI35"/>
      <c r="AJ35"/>
      <c r="AK35"/>
      <c r="AL35"/>
      <c r="AM35"/>
      <c r="AN35"/>
      <c r="AO35"/>
      <c r="AP35"/>
      <c r="AQ35"/>
      <c r="AR35"/>
      <c r="AS35"/>
      <c r="AW35" s="22"/>
      <c r="AX35" s="22"/>
    </row>
    <row r="36" spans="1:50" ht="16" thickBot="1" x14ac:dyDescent="0.25">
      <c r="A36" s="36"/>
      <c r="C36" s="327" t="s">
        <v>38</v>
      </c>
      <c r="D36" s="328"/>
      <c r="E36" s="329"/>
      <c r="F36" s="20"/>
      <c r="G36" s="11">
        <f t="shared" ref="G36:AD36" si="14">SUM(G31:G34)</f>
        <v>500</v>
      </c>
      <c r="H36" s="9">
        <f t="shared" si="14"/>
        <v>3000</v>
      </c>
      <c r="I36" s="9">
        <f t="shared" si="14"/>
        <v>4500</v>
      </c>
      <c r="J36" s="9">
        <f t="shared" si="14"/>
        <v>4250</v>
      </c>
      <c r="K36" s="9">
        <f t="shared" si="14"/>
        <v>3750</v>
      </c>
      <c r="L36" s="9">
        <f t="shared" si="14"/>
        <v>6000</v>
      </c>
      <c r="M36" s="9">
        <f t="shared" si="14"/>
        <v>5750</v>
      </c>
      <c r="N36" s="9">
        <f t="shared" si="14"/>
        <v>3250</v>
      </c>
      <c r="O36" s="9">
        <f t="shared" si="14"/>
        <v>1750</v>
      </c>
      <c r="P36" s="9">
        <f t="shared" si="14"/>
        <v>2750</v>
      </c>
      <c r="Q36" s="9">
        <f t="shared" si="14"/>
        <v>2250</v>
      </c>
      <c r="R36" s="10">
        <f t="shared" si="14"/>
        <v>3500</v>
      </c>
      <c r="S36" s="11">
        <f t="shared" si="14"/>
        <v>1000</v>
      </c>
      <c r="T36" s="9">
        <f t="shared" si="14"/>
        <v>1000</v>
      </c>
      <c r="U36" s="9">
        <f t="shared" si="14"/>
        <v>1000</v>
      </c>
      <c r="V36" s="9">
        <f t="shared" si="14"/>
        <v>1000</v>
      </c>
      <c r="W36" s="9">
        <f t="shared" si="14"/>
        <v>1000</v>
      </c>
      <c r="X36" s="9">
        <f t="shared" si="14"/>
        <v>1000</v>
      </c>
      <c r="Y36" s="9">
        <f t="shared" si="14"/>
        <v>1000</v>
      </c>
      <c r="Z36" s="9">
        <f t="shared" si="14"/>
        <v>1000</v>
      </c>
      <c r="AA36" s="9">
        <f t="shared" si="14"/>
        <v>1000</v>
      </c>
      <c r="AB36" s="9">
        <f t="shared" si="14"/>
        <v>1000</v>
      </c>
      <c r="AC36" s="9">
        <f t="shared" si="14"/>
        <v>1000</v>
      </c>
      <c r="AD36" s="10">
        <f t="shared" si="14"/>
        <v>1000</v>
      </c>
      <c r="AE36" s="14"/>
      <c r="AF36" s="19">
        <f>SUM(G36:AD36)</f>
        <v>53250</v>
      </c>
      <c r="AG36" s="106">
        <f>COUNT(G36:AD36)</f>
        <v>24</v>
      </c>
      <c r="AH36" s="18">
        <f>AF36/AG36</f>
        <v>2218.75</v>
      </c>
      <c r="AI36"/>
      <c r="AJ36" s="162"/>
      <c r="AL36"/>
      <c r="AM36"/>
      <c r="AN36"/>
      <c r="AO36"/>
      <c r="AP36"/>
      <c r="AQ36"/>
      <c r="AR36"/>
      <c r="AS36"/>
      <c r="AW36" s="22"/>
      <c r="AX36" s="22"/>
    </row>
    <row r="37" spans="1:50" customFormat="1" ht="6" customHeight="1" thickBot="1" x14ac:dyDescent="0.25"/>
    <row r="38" spans="1:50" x14ac:dyDescent="0.2">
      <c r="A38" s="34"/>
      <c r="C38" s="86" t="s">
        <v>34</v>
      </c>
      <c r="D38" s="87"/>
      <c r="E38" s="96" t="s">
        <v>13</v>
      </c>
      <c r="F38" s="97" t="s">
        <v>35</v>
      </c>
      <c r="G38" s="90"/>
      <c r="H38" s="91"/>
      <c r="I38" s="91"/>
      <c r="J38" s="91"/>
      <c r="K38" s="91"/>
      <c r="L38" s="91"/>
      <c r="M38" s="91"/>
      <c r="N38" s="91"/>
      <c r="O38" s="91"/>
      <c r="P38" s="91"/>
      <c r="Q38" s="91"/>
      <c r="R38" s="92"/>
      <c r="S38" s="90"/>
      <c r="T38" s="91"/>
      <c r="U38" s="91"/>
      <c r="V38" s="91"/>
      <c r="W38" s="91"/>
      <c r="X38" s="91"/>
      <c r="Y38" s="91"/>
      <c r="Z38" s="91"/>
      <c r="AA38" s="91"/>
      <c r="AB38" s="91"/>
      <c r="AC38" s="91"/>
      <c r="AD38" s="93"/>
      <c r="AE38" s="94"/>
      <c r="AF38" s="95"/>
      <c r="AG38" s="95"/>
      <c r="AH38" s="95"/>
      <c r="AI38"/>
      <c r="AJ38"/>
      <c r="AK38"/>
      <c r="AL38"/>
      <c r="AM38"/>
      <c r="AN38"/>
      <c r="AO38"/>
      <c r="AP38"/>
      <c r="AQ38"/>
      <c r="AR38"/>
      <c r="AS38"/>
      <c r="AW38" s="22"/>
      <c r="AX38" s="22"/>
    </row>
    <row r="39" spans="1:50" x14ac:dyDescent="0.2">
      <c r="A39" s="35">
        <f>E39*F39</f>
        <v>1000</v>
      </c>
      <c r="C39" s="39"/>
      <c r="D39" s="58" t="s">
        <v>34</v>
      </c>
      <c r="E39" s="85">
        <v>4</v>
      </c>
      <c r="F39" s="40">
        <f>F1</f>
        <v>250</v>
      </c>
      <c r="G39" s="64">
        <v>1</v>
      </c>
      <c r="H39" s="41">
        <v>1</v>
      </c>
      <c r="I39" s="41">
        <v>1</v>
      </c>
      <c r="J39" s="41">
        <v>1</v>
      </c>
      <c r="K39" s="41">
        <v>1</v>
      </c>
      <c r="L39" s="41">
        <v>1</v>
      </c>
      <c r="M39" s="41">
        <v>1</v>
      </c>
      <c r="N39" s="41">
        <v>1</v>
      </c>
      <c r="O39" s="41">
        <v>1</v>
      </c>
      <c r="P39" s="41">
        <v>1</v>
      </c>
      <c r="Q39" s="41">
        <v>1</v>
      </c>
      <c r="R39" s="41">
        <v>1</v>
      </c>
      <c r="S39" s="67">
        <v>1</v>
      </c>
      <c r="T39" s="65">
        <v>1</v>
      </c>
      <c r="U39" s="65">
        <v>1</v>
      </c>
      <c r="V39" s="65">
        <v>1</v>
      </c>
      <c r="W39" s="65">
        <v>1</v>
      </c>
      <c r="X39" s="65">
        <v>1</v>
      </c>
      <c r="Y39" s="65">
        <v>1</v>
      </c>
      <c r="Z39" s="65">
        <v>1</v>
      </c>
      <c r="AA39" s="65">
        <v>1</v>
      </c>
      <c r="AB39" s="65">
        <v>1</v>
      </c>
      <c r="AC39" s="65">
        <v>1</v>
      </c>
      <c r="AD39" s="65">
        <v>1</v>
      </c>
      <c r="AE39" s="114"/>
      <c r="AF39" s="30">
        <f>SUMPRODUCT(G39:AD39)*(A39)</f>
        <v>24000</v>
      </c>
      <c r="AG39" s="57">
        <f>COUNT(G39:AD39)</f>
        <v>24</v>
      </c>
      <c r="AH39" s="30">
        <f>AF39/AG39</f>
        <v>1000</v>
      </c>
      <c r="AI39"/>
      <c r="AJ39"/>
      <c r="AK39"/>
      <c r="AL39"/>
      <c r="AM39"/>
      <c r="AN39"/>
      <c r="AO39"/>
      <c r="AP39"/>
      <c r="AQ39"/>
      <c r="AR39"/>
      <c r="AS39"/>
      <c r="AW39" s="22"/>
      <c r="AX39" s="22"/>
    </row>
    <row r="40" spans="1:50" ht="16" thickBot="1" x14ac:dyDescent="0.25">
      <c r="A40" s="35"/>
      <c r="C40" s="39"/>
      <c r="D40" s="58"/>
      <c r="E40" s="58"/>
      <c r="F40" s="40"/>
      <c r="G40" s="64"/>
      <c r="H40" s="41"/>
      <c r="I40" s="41"/>
      <c r="J40" s="41"/>
      <c r="K40" s="41"/>
      <c r="L40" s="41"/>
      <c r="M40" s="41"/>
      <c r="N40" s="41"/>
      <c r="O40" s="41"/>
      <c r="P40" s="65"/>
      <c r="Q40" s="65"/>
      <c r="R40" s="66"/>
      <c r="S40" s="67"/>
      <c r="T40" s="65"/>
      <c r="U40" s="65"/>
      <c r="V40" s="65"/>
      <c r="W40" s="65"/>
      <c r="X40" s="65"/>
      <c r="Y40" s="65"/>
      <c r="Z40" s="65"/>
      <c r="AA40" s="55"/>
      <c r="AB40" s="55"/>
      <c r="AC40" s="55"/>
      <c r="AD40" s="51"/>
      <c r="AE40" s="52"/>
      <c r="AF40" s="30"/>
      <c r="AG40" s="31"/>
      <c r="AH40" s="30"/>
      <c r="AI40"/>
      <c r="AJ40"/>
      <c r="AK40"/>
      <c r="AL40"/>
      <c r="AM40"/>
      <c r="AN40"/>
      <c r="AO40"/>
      <c r="AP40"/>
      <c r="AQ40"/>
      <c r="AR40"/>
      <c r="AS40"/>
      <c r="AW40" s="22"/>
      <c r="AX40" s="22"/>
    </row>
    <row r="41" spans="1:50" ht="16" thickBot="1" x14ac:dyDescent="0.25">
      <c r="A41" s="36"/>
      <c r="C41" s="327" t="s">
        <v>39</v>
      </c>
      <c r="D41" s="328"/>
      <c r="E41" s="329"/>
      <c r="F41" s="20"/>
      <c r="G41" s="11">
        <f t="shared" ref="G41:AD41" si="15">SUMPRODUCT(($A$39:$A$40),(G39:G40))</f>
        <v>1000</v>
      </c>
      <c r="H41" s="9">
        <f t="shared" si="15"/>
        <v>1000</v>
      </c>
      <c r="I41" s="9">
        <f t="shared" si="15"/>
        <v>1000</v>
      </c>
      <c r="J41" s="9">
        <f t="shared" si="15"/>
        <v>1000</v>
      </c>
      <c r="K41" s="9">
        <f t="shared" si="15"/>
        <v>1000</v>
      </c>
      <c r="L41" s="9">
        <f t="shared" si="15"/>
        <v>1000</v>
      </c>
      <c r="M41" s="9">
        <f t="shared" si="15"/>
        <v>1000</v>
      </c>
      <c r="N41" s="9">
        <f t="shared" si="15"/>
        <v>1000</v>
      </c>
      <c r="O41" s="9">
        <f t="shared" si="15"/>
        <v>1000</v>
      </c>
      <c r="P41" s="9">
        <f t="shared" si="15"/>
        <v>1000</v>
      </c>
      <c r="Q41" s="9">
        <f t="shared" si="15"/>
        <v>1000</v>
      </c>
      <c r="R41" s="10">
        <f t="shared" si="15"/>
        <v>1000</v>
      </c>
      <c r="S41" s="11">
        <f t="shared" si="15"/>
        <v>1000</v>
      </c>
      <c r="T41" s="9">
        <f t="shared" si="15"/>
        <v>1000</v>
      </c>
      <c r="U41" s="9">
        <f t="shared" si="15"/>
        <v>1000</v>
      </c>
      <c r="V41" s="9">
        <f t="shared" si="15"/>
        <v>1000</v>
      </c>
      <c r="W41" s="9">
        <f t="shared" si="15"/>
        <v>1000</v>
      </c>
      <c r="X41" s="9">
        <f t="shared" si="15"/>
        <v>1000</v>
      </c>
      <c r="Y41" s="9">
        <f t="shared" si="15"/>
        <v>1000</v>
      </c>
      <c r="Z41" s="9">
        <f t="shared" si="15"/>
        <v>1000</v>
      </c>
      <c r="AA41" s="9">
        <f t="shared" si="15"/>
        <v>1000</v>
      </c>
      <c r="AB41" s="9">
        <f t="shared" si="15"/>
        <v>1000</v>
      </c>
      <c r="AC41" s="9">
        <f t="shared" si="15"/>
        <v>1000</v>
      </c>
      <c r="AD41" s="10">
        <f t="shared" si="15"/>
        <v>1000</v>
      </c>
      <c r="AE41" s="14"/>
      <c r="AF41" s="19">
        <f>SUM(G41:AD41)</f>
        <v>24000</v>
      </c>
      <c r="AG41" s="106">
        <f>COUNT(G41:AD41)</f>
        <v>24</v>
      </c>
      <c r="AH41" s="18">
        <f>AF41/AG41</f>
        <v>1000</v>
      </c>
      <c r="AI41"/>
      <c r="AJ41" s="162"/>
      <c r="AL41"/>
      <c r="AM41"/>
      <c r="AN41"/>
      <c r="AO41"/>
      <c r="AP41"/>
      <c r="AQ41"/>
      <c r="AR41"/>
      <c r="AS41"/>
      <c r="AW41" s="22"/>
      <c r="AX41" s="22"/>
    </row>
    <row r="42" spans="1:50" ht="6" customHeight="1" thickBot="1" x14ac:dyDescent="0.25">
      <c r="A42" s="43"/>
      <c r="C42" s="44"/>
      <c r="D42" s="44"/>
      <c r="E42" s="44"/>
      <c r="F42" s="45"/>
      <c r="G42" s="46"/>
      <c r="H42"/>
      <c r="I42"/>
      <c r="J42"/>
      <c r="K42"/>
      <c r="L42"/>
      <c r="M42"/>
      <c r="N42"/>
      <c r="O42"/>
      <c r="P42" s="46"/>
      <c r="Q42" s="46"/>
      <c r="R42" s="46"/>
      <c r="S42" s="46"/>
      <c r="T42" s="46"/>
      <c r="U42" s="46"/>
      <c r="V42" s="46"/>
      <c r="W42" s="46"/>
      <c r="X42" s="46"/>
      <c r="Y42" s="46"/>
      <c r="Z42"/>
      <c r="AA42"/>
      <c r="AB42"/>
      <c r="AC42"/>
      <c r="AD42"/>
      <c r="AE42"/>
      <c r="AF42" s="47"/>
      <c r="AG42" s="48"/>
      <c r="AH42" s="48"/>
      <c r="AI42"/>
      <c r="AJ42"/>
      <c r="AK42"/>
      <c r="AL42"/>
      <c r="AM42"/>
      <c r="AN42"/>
      <c r="AO42"/>
      <c r="AP42"/>
      <c r="AQ42"/>
      <c r="AR42"/>
      <c r="AS42"/>
      <c r="AW42" s="22"/>
      <c r="AX42" s="22"/>
    </row>
    <row r="43" spans="1:50" ht="16" thickBot="1" x14ac:dyDescent="0.25">
      <c r="A43" s="36"/>
      <c r="C43" s="319"/>
      <c r="D43" s="320"/>
      <c r="E43" s="321"/>
      <c r="F43" s="100"/>
      <c r="G43" s="102">
        <f>SUM(G28+G36+G41)</f>
        <v>66068.775981524261</v>
      </c>
      <c r="H43" s="101">
        <f t="shared" ref="H43:AD43" si="16">SUM(H28+H36+H41)</f>
        <v>55980.369515011545</v>
      </c>
      <c r="I43" s="101">
        <f t="shared" si="16"/>
        <v>51850.420653249756</v>
      </c>
      <c r="J43" s="101">
        <f t="shared" si="16"/>
        <v>40204.30550973276</v>
      </c>
      <c r="K43" s="101">
        <f t="shared" si="16"/>
        <v>26881.095348069943</v>
      </c>
      <c r="L43" s="101">
        <f t="shared" si="16"/>
        <v>26249.587594853183</v>
      </c>
      <c r="M43" s="101">
        <f t="shared" si="16"/>
        <v>17192.901270207854</v>
      </c>
      <c r="N43" s="101">
        <f t="shared" si="16"/>
        <v>14692.901270207853</v>
      </c>
      <c r="O43" s="101">
        <f t="shared" si="16"/>
        <v>12856.033487297922</v>
      </c>
      <c r="P43" s="101">
        <f t="shared" si="16"/>
        <v>14192.901270207853</v>
      </c>
      <c r="Q43" s="101">
        <f t="shared" si="16"/>
        <v>13356.033487297922</v>
      </c>
      <c r="R43" s="103">
        <f t="shared" si="16"/>
        <v>21809.877367205543</v>
      </c>
      <c r="S43" s="102">
        <f t="shared" si="16"/>
        <v>3945.1605080831414</v>
      </c>
      <c r="T43" s="101">
        <f t="shared" si="16"/>
        <v>3819.6662817551969</v>
      </c>
      <c r="U43" s="101">
        <f t="shared" si="16"/>
        <v>3945.1605080831414</v>
      </c>
      <c r="V43" s="101">
        <f t="shared" si="16"/>
        <v>3882.4133949191687</v>
      </c>
      <c r="W43" s="101">
        <f t="shared" si="16"/>
        <v>3945.1605080831414</v>
      </c>
      <c r="X43" s="101">
        <f t="shared" si="16"/>
        <v>3882.4133949191687</v>
      </c>
      <c r="Y43" s="101">
        <f t="shared" si="16"/>
        <v>4042.4185334872982</v>
      </c>
      <c r="Z43" s="101">
        <f t="shared" si="16"/>
        <v>4042.4185334872982</v>
      </c>
      <c r="AA43" s="101">
        <f t="shared" si="16"/>
        <v>3976.5340646651275</v>
      </c>
      <c r="AB43" s="101">
        <f t="shared" si="16"/>
        <v>3021.2092667436491</v>
      </c>
      <c r="AC43" s="101">
        <f t="shared" si="16"/>
        <v>2988.2670323325638</v>
      </c>
      <c r="AD43" s="103">
        <f t="shared" si="16"/>
        <v>3021.2092667436491</v>
      </c>
      <c r="AE43" s="104"/>
      <c r="AF43" s="154">
        <f>SUM(G43:AD43)</f>
        <v>405847.23404816887</v>
      </c>
      <c r="AG43" s="105">
        <f>COUNT(G43:AD43)</f>
        <v>24</v>
      </c>
      <c r="AH43" s="154">
        <f>AF43/AG43</f>
        <v>16910.301418673702</v>
      </c>
      <c r="AI43"/>
      <c r="AJ43"/>
      <c r="AK43"/>
      <c r="AL43"/>
      <c r="AM43"/>
      <c r="AN43"/>
      <c r="AO43"/>
      <c r="AP43"/>
      <c r="AQ43"/>
      <c r="AR43"/>
      <c r="AS43"/>
      <c r="AW43" s="22"/>
      <c r="AX43" s="22"/>
    </row>
    <row r="44" spans="1:50" customFormat="1" x14ac:dyDescent="0.2">
      <c r="AF44" s="153">
        <f>SUM(AF28+AF36+AF41)</f>
        <v>405847.23404816893</v>
      </c>
      <c r="AG44" s="22" t="str">
        <f>IF(AF44=AF43,"OK","ERROR")</f>
        <v>OK</v>
      </c>
    </row>
    <row r="45" spans="1:50" customFormat="1" x14ac:dyDescent="0.2">
      <c r="AF45" s="163"/>
    </row>
    <row r="46" spans="1:50" x14ac:dyDescent="0.2">
      <c r="C46"/>
      <c r="D46"/>
      <c r="E46"/>
      <c r="F46"/>
      <c r="G46"/>
      <c r="H46"/>
      <c r="I46"/>
      <c r="AK46"/>
      <c r="AL46"/>
      <c r="AM46"/>
      <c r="AN46"/>
      <c r="AO46"/>
      <c r="AP46"/>
      <c r="AQ46"/>
      <c r="AR46"/>
      <c r="AS46"/>
      <c r="AT46"/>
    </row>
    <row r="47" spans="1:50" ht="16" x14ac:dyDescent="0.2">
      <c r="C47" s="38" t="s">
        <v>26</v>
      </c>
      <c r="D47" s="38"/>
      <c r="E47" s="68" t="s">
        <v>67</v>
      </c>
      <c r="F47" s="164">
        <f>F1</f>
        <v>250</v>
      </c>
      <c r="G47"/>
      <c r="H47"/>
      <c r="I47"/>
    </row>
    <row r="48" spans="1:50" ht="16" x14ac:dyDescent="0.2">
      <c r="C48" s="25" t="s">
        <v>27</v>
      </c>
      <c r="D48" s="25"/>
      <c r="E48" s="68" t="s">
        <v>59</v>
      </c>
      <c r="F48" s="165">
        <f>F2</f>
        <v>125000000</v>
      </c>
      <c r="G48"/>
      <c r="H48"/>
      <c r="I48"/>
    </row>
    <row r="49" spans="1:50" ht="26" x14ac:dyDescent="0.2">
      <c r="C49" s="287" t="s">
        <v>41</v>
      </c>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287"/>
    </row>
    <row r="50" spans="1:50" x14ac:dyDescent="0.2">
      <c r="C50" s="322" t="s">
        <v>15</v>
      </c>
      <c r="D50" s="323"/>
      <c r="E50" s="323"/>
      <c r="F50" s="323"/>
      <c r="G50" s="314" t="s">
        <v>17</v>
      </c>
      <c r="H50" s="315"/>
      <c r="I50" s="315"/>
      <c r="J50" s="315"/>
      <c r="K50" s="315"/>
      <c r="L50" s="315"/>
      <c r="M50" s="315"/>
      <c r="N50" s="315"/>
      <c r="O50" s="315"/>
      <c r="P50" s="315"/>
      <c r="Q50" s="315"/>
      <c r="R50" s="316"/>
      <c r="S50" s="126"/>
      <c r="T50" s="126"/>
      <c r="U50" s="126"/>
      <c r="V50" s="126"/>
      <c r="W50" s="126"/>
      <c r="X50" s="126"/>
      <c r="Y50" s="126"/>
      <c r="Z50" s="126"/>
      <c r="AA50" s="127"/>
      <c r="AB50" s="127"/>
      <c r="AC50" s="127"/>
      <c r="AD50" s="127"/>
      <c r="AE50" s="127"/>
      <c r="AF50" s="127"/>
      <c r="AG50" s="127"/>
      <c r="AH50" s="127"/>
      <c r="AI50" s="127"/>
      <c r="AJ50" s="127"/>
      <c r="AK50" s="127"/>
      <c r="AL50" s="127"/>
      <c r="AM50" s="127"/>
      <c r="AN50" s="128"/>
      <c r="AO50" s="128"/>
    </row>
    <row r="51" spans="1:50" x14ac:dyDescent="0.2">
      <c r="C51" s="317" t="s">
        <v>16</v>
      </c>
      <c r="D51" s="318"/>
      <c r="E51" s="318"/>
      <c r="F51" s="318"/>
      <c r="G51" s="305" t="s">
        <v>18</v>
      </c>
      <c r="H51" s="306"/>
      <c r="I51" s="306"/>
      <c r="J51" s="306"/>
      <c r="K51" s="306"/>
      <c r="L51" s="306"/>
      <c r="M51" s="306"/>
      <c r="N51" s="306"/>
      <c r="O51" s="306"/>
      <c r="P51" s="306"/>
      <c r="Q51" s="306"/>
      <c r="R51" s="306"/>
      <c r="S51" s="306"/>
      <c r="T51" s="306"/>
      <c r="U51" s="306"/>
      <c r="V51" s="306"/>
      <c r="W51" s="306"/>
      <c r="X51" s="306"/>
      <c r="Y51" s="306"/>
      <c r="Z51" s="306"/>
      <c r="AA51" s="306"/>
      <c r="AB51" s="306"/>
      <c r="AC51" s="306"/>
      <c r="AD51" s="307"/>
      <c r="AE51" s="107"/>
      <c r="AF51" s="116"/>
      <c r="AG51" s="116"/>
      <c r="AH51" s="116"/>
      <c r="AI51" s="116"/>
      <c r="AJ51" s="116"/>
      <c r="AK51" s="116"/>
      <c r="AL51" s="116"/>
      <c r="AM51" s="116"/>
      <c r="AN51" s="124"/>
      <c r="AO51" s="120"/>
    </row>
    <row r="52" spans="1:50" x14ac:dyDescent="0.2">
      <c r="C52" s="367" t="s">
        <v>45</v>
      </c>
      <c r="D52" s="368"/>
      <c r="E52" s="368"/>
      <c r="F52" s="369"/>
      <c r="G52" s="324" t="s">
        <v>46</v>
      </c>
      <c r="H52" s="325"/>
      <c r="I52" s="325"/>
      <c r="J52" s="325"/>
      <c r="K52" s="326"/>
      <c r="L52" s="116"/>
      <c r="M52" s="116"/>
      <c r="N52" s="116"/>
      <c r="O52" s="116"/>
      <c r="P52" s="116"/>
      <c r="Q52" s="116"/>
      <c r="R52" s="133"/>
      <c r="S52" s="116"/>
      <c r="T52" s="116"/>
      <c r="U52" s="116"/>
      <c r="V52" s="116"/>
      <c r="W52" s="116"/>
      <c r="X52" s="116"/>
      <c r="Y52" s="116"/>
      <c r="Z52" s="116"/>
      <c r="AA52" s="116"/>
      <c r="AB52" s="116"/>
      <c r="AC52" s="116"/>
      <c r="AD52" s="133"/>
      <c r="AE52" s="116"/>
      <c r="AF52" s="116"/>
      <c r="AG52" s="116"/>
      <c r="AH52" s="116"/>
      <c r="AI52" s="116"/>
      <c r="AJ52" s="116"/>
      <c r="AK52" s="116"/>
      <c r="AL52" s="116"/>
      <c r="AM52" s="116"/>
      <c r="AN52" s="124"/>
      <c r="AO52" s="124"/>
    </row>
    <row r="53" spans="1:50" s="110" customFormat="1" x14ac:dyDescent="0.2">
      <c r="A53" s="108"/>
      <c r="B53" s="109"/>
      <c r="C53" s="370"/>
      <c r="D53" s="371"/>
      <c r="E53" s="371"/>
      <c r="F53" s="372"/>
      <c r="G53" s="116"/>
      <c r="H53" s="116"/>
      <c r="I53" s="116"/>
      <c r="J53" s="116"/>
      <c r="K53" s="354" t="s">
        <v>47</v>
      </c>
      <c r="L53" s="355"/>
      <c r="M53" s="376"/>
      <c r="N53" s="376"/>
      <c r="O53" s="377"/>
      <c r="P53" s="116"/>
      <c r="Q53" s="116"/>
      <c r="R53" s="134"/>
      <c r="S53" s="116"/>
      <c r="T53" s="116"/>
      <c r="U53" s="116"/>
      <c r="V53" s="116"/>
      <c r="W53" s="116"/>
      <c r="X53" s="116"/>
      <c r="Y53" s="116"/>
      <c r="Z53" s="116"/>
      <c r="AA53" s="116"/>
      <c r="AB53" s="116"/>
      <c r="AC53" s="116"/>
      <c r="AD53" s="134"/>
      <c r="AE53" s="116"/>
      <c r="AF53" s="116"/>
      <c r="AG53" s="116"/>
      <c r="AH53" s="116"/>
      <c r="AI53" s="116"/>
      <c r="AJ53" s="116"/>
      <c r="AK53" s="116"/>
      <c r="AL53" s="116"/>
      <c r="AM53" s="116"/>
      <c r="AN53" s="124"/>
      <c r="AO53" s="124"/>
      <c r="AS53" s="109"/>
      <c r="AT53" s="109"/>
      <c r="AU53" s="109"/>
      <c r="AV53" s="109"/>
      <c r="AW53" s="109"/>
      <c r="AX53" s="109"/>
    </row>
    <row r="54" spans="1:50" s="110" customFormat="1" x14ac:dyDescent="0.2">
      <c r="A54" s="108"/>
      <c r="B54" s="109"/>
      <c r="C54" s="370"/>
      <c r="D54" s="371"/>
      <c r="E54" s="371"/>
      <c r="F54" s="372"/>
      <c r="G54" s="116"/>
      <c r="H54" s="116"/>
      <c r="I54" s="116"/>
      <c r="J54" s="116"/>
      <c r="K54" s="129"/>
      <c r="L54" s="116"/>
      <c r="M54" s="379" t="s">
        <v>48</v>
      </c>
      <c r="N54" s="380"/>
      <c r="O54" s="380"/>
      <c r="P54" s="380"/>
      <c r="Q54" s="380"/>
      <c r="R54" s="380"/>
      <c r="S54" s="380"/>
      <c r="T54" s="380"/>
      <c r="U54" s="380"/>
      <c r="V54" s="380"/>
      <c r="W54" s="380"/>
      <c r="X54" s="380"/>
      <c r="Y54" s="380"/>
      <c r="Z54" s="380"/>
      <c r="AA54" s="380"/>
      <c r="AB54" s="380"/>
      <c r="AC54" s="380"/>
      <c r="AD54" s="380"/>
      <c r="AE54" s="380"/>
      <c r="AF54" s="380"/>
      <c r="AG54" s="380"/>
      <c r="AH54" s="380"/>
      <c r="AI54" s="380"/>
      <c r="AJ54" s="380"/>
      <c r="AK54" s="380"/>
      <c r="AL54" s="380"/>
      <c r="AM54" s="380"/>
      <c r="AN54" s="381"/>
      <c r="AO54" s="124"/>
      <c r="AS54" s="109"/>
      <c r="AT54" s="109"/>
      <c r="AU54" s="109"/>
      <c r="AV54" s="109"/>
      <c r="AW54" s="109"/>
      <c r="AX54" s="109"/>
    </row>
    <row r="55" spans="1:50" s="110" customFormat="1" x14ac:dyDescent="0.2">
      <c r="A55" s="108"/>
      <c r="B55" s="109"/>
      <c r="C55" s="370"/>
      <c r="D55" s="371"/>
      <c r="E55" s="371"/>
      <c r="F55" s="372"/>
      <c r="G55" s="116"/>
      <c r="H55" s="116"/>
      <c r="I55" s="116"/>
      <c r="J55" s="116"/>
      <c r="K55" s="130"/>
      <c r="L55" s="116"/>
      <c r="M55" s="130"/>
      <c r="N55" s="116"/>
      <c r="O55" s="116"/>
      <c r="P55" s="130"/>
      <c r="Q55" s="311" t="s">
        <v>50</v>
      </c>
      <c r="R55" s="312"/>
      <c r="S55" s="312"/>
      <c r="T55" s="312"/>
      <c r="U55" s="313"/>
      <c r="V55" s="116"/>
      <c r="W55" s="116"/>
      <c r="X55" s="116"/>
      <c r="Y55" s="116"/>
      <c r="Z55" s="116"/>
      <c r="AA55" s="116"/>
      <c r="AB55" s="116"/>
      <c r="AC55" s="116"/>
      <c r="AD55" s="135"/>
      <c r="AE55" s="116"/>
      <c r="AF55" s="116"/>
      <c r="AG55" s="116"/>
      <c r="AH55" s="116"/>
      <c r="AI55" s="116"/>
      <c r="AJ55" s="116"/>
      <c r="AK55" s="116"/>
      <c r="AL55" s="116"/>
      <c r="AM55" s="116"/>
      <c r="AN55" s="125"/>
      <c r="AO55" s="124"/>
      <c r="AS55" s="109"/>
      <c r="AT55" s="109"/>
      <c r="AU55" s="109"/>
      <c r="AV55" s="109"/>
      <c r="AW55" s="109"/>
      <c r="AX55" s="109"/>
    </row>
    <row r="56" spans="1:50" s="110" customFormat="1" x14ac:dyDescent="0.2">
      <c r="A56" s="108"/>
      <c r="B56" s="109"/>
      <c r="C56" s="370"/>
      <c r="D56" s="371"/>
      <c r="E56" s="371"/>
      <c r="F56" s="372"/>
      <c r="G56" s="116"/>
      <c r="H56" s="116"/>
      <c r="I56" s="116"/>
      <c r="J56" s="116"/>
      <c r="K56" s="130"/>
      <c r="L56" s="116"/>
      <c r="M56" s="130"/>
      <c r="N56" s="116"/>
      <c r="O56" s="116"/>
      <c r="P56" s="130"/>
      <c r="Q56" s="116"/>
      <c r="R56" s="116"/>
      <c r="S56" s="130"/>
      <c r="T56" s="116"/>
      <c r="U56" s="382" t="s">
        <v>51</v>
      </c>
      <c r="V56" s="383"/>
      <c r="W56" s="383"/>
      <c r="X56" s="383"/>
      <c r="Y56" s="383"/>
      <c r="Z56" s="383"/>
      <c r="AA56" s="383"/>
      <c r="AB56" s="383"/>
      <c r="AC56" s="383"/>
      <c r="AD56" s="383"/>
      <c r="AE56" s="383"/>
      <c r="AF56" s="383"/>
      <c r="AG56" s="383"/>
      <c r="AH56" s="383"/>
      <c r="AI56" s="383"/>
      <c r="AJ56" s="383"/>
      <c r="AK56" s="383"/>
      <c r="AL56" s="383"/>
      <c r="AM56" s="383"/>
      <c r="AN56" s="384"/>
      <c r="AO56" s="121"/>
      <c r="AS56" s="109"/>
      <c r="AT56" s="109"/>
      <c r="AU56" s="109"/>
      <c r="AV56" s="109"/>
      <c r="AW56" s="109"/>
      <c r="AX56" s="109"/>
    </row>
    <row r="57" spans="1:50" s="110" customFormat="1" x14ac:dyDescent="0.2">
      <c r="A57" s="108"/>
      <c r="B57" s="109"/>
      <c r="C57" s="370"/>
      <c r="D57" s="371"/>
      <c r="E57" s="371"/>
      <c r="F57" s="372"/>
      <c r="G57" s="116"/>
      <c r="H57" s="116"/>
      <c r="I57" s="116"/>
      <c r="J57" s="116"/>
      <c r="K57" s="130"/>
      <c r="L57" s="116"/>
      <c r="M57" s="130"/>
      <c r="N57" s="116"/>
      <c r="O57" s="116"/>
      <c r="P57" s="130"/>
      <c r="Q57" s="116"/>
      <c r="R57" s="116"/>
      <c r="S57" s="130"/>
      <c r="T57" s="116"/>
      <c r="U57" s="130"/>
      <c r="V57" s="385" t="s">
        <v>52</v>
      </c>
      <c r="W57" s="386"/>
      <c r="X57" s="386"/>
      <c r="Y57" s="387"/>
      <c r="Z57" s="387"/>
      <c r="AA57" s="387"/>
      <c r="AB57" s="387"/>
      <c r="AC57" s="388"/>
      <c r="AD57" s="134"/>
      <c r="AE57" s="116"/>
      <c r="AF57" s="116"/>
      <c r="AG57" s="116"/>
      <c r="AH57" s="116"/>
      <c r="AI57" s="116"/>
      <c r="AJ57" s="116"/>
      <c r="AK57" s="116"/>
      <c r="AL57" s="116"/>
      <c r="AM57" s="116"/>
      <c r="AN57" s="134"/>
      <c r="AO57" s="124"/>
      <c r="AS57" s="109"/>
      <c r="AT57" s="109"/>
      <c r="AU57" s="109"/>
      <c r="AV57" s="109"/>
      <c r="AW57" s="109"/>
      <c r="AX57" s="109"/>
    </row>
    <row r="58" spans="1:50" s="110" customFormat="1" x14ac:dyDescent="0.2">
      <c r="A58" s="108"/>
      <c r="B58" s="109"/>
      <c r="C58" s="370"/>
      <c r="D58" s="371"/>
      <c r="E58" s="371"/>
      <c r="F58" s="372"/>
      <c r="G58" s="116"/>
      <c r="H58" s="116"/>
      <c r="I58" s="116"/>
      <c r="J58" s="116"/>
      <c r="K58" s="130"/>
      <c r="L58" s="116"/>
      <c r="M58" s="130"/>
      <c r="N58" s="116"/>
      <c r="O58" s="116"/>
      <c r="P58" s="130"/>
      <c r="Q58" s="116"/>
      <c r="R58" s="116"/>
      <c r="S58" s="130"/>
      <c r="T58" s="116"/>
      <c r="U58" s="130"/>
      <c r="V58" s="130"/>
      <c r="W58" s="116"/>
      <c r="X58" s="116"/>
      <c r="Y58" s="360" t="s">
        <v>53</v>
      </c>
      <c r="Z58" s="361"/>
      <c r="AA58" s="361"/>
      <c r="AB58" s="361"/>
      <c r="AC58" s="361"/>
      <c r="AD58" s="361"/>
      <c r="AE58" s="361"/>
      <c r="AF58" s="361"/>
      <c r="AG58" s="361"/>
      <c r="AH58" s="361"/>
      <c r="AI58" s="361"/>
      <c r="AJ58" s="361"/>
      <c r="AK58" s="361"/>
      <c r="AL58" s="361"/>
      <c r="AM58" s="362"/>
      <c r="AN58" s="134"/>
      <c r="AO58" s="124"/>
      <c r="AS58" s="109"/>
      <c r="AT58" s="109"/>
      <c r="AU58" s="109"/>
      <c r="AV58" s="109"/>
      <c r="AW58" s="109"/>
      <c r="AX58" s="109"/>
    </row>
    <row r="59" spans="1:50" s="110" customFormat="1" x14ac:dyDescent="0.2">
      <c r="A59" s="108"/>
      <c r="B59" s="109"/>
      <c r="C59" s="370"/>
      <c r="D59" s="371"/>
      <c r="E59" s="371"/>
      <c r="F59" s="372"/>
      <c r="G59" s="116"/>
      <c r="H59" s="116"/>
      <c r="I59" s="116"/>
      <c r="J59" s="116"/>
      <c r="K59" s="130"/>
      <c r="L59" s="116"/>
      <c r="M59" s="130"/>
      <c r="N59" s="116"/>
      <c r="O59" s="116"/>
      <c r="P59" s="130"/>
      <c r="Q59" s="116"/>
      <c r="R59" s="116"/>
      <c r="S59" s="130"/>
      <c r="T59" s="116"/>
      <c r="U59" s="130"/>
      <c r="V59" s="130"/>
      <c r="W59" s="116"/>
      <c r="X59" s="116"/>
      <c r="Y59" s="130"/>
      <c r="Z59" s="116"/>
      <c r="AA59" s="116"/>
      <c r="AB59" s="116"/>
      <c r="AC59" s="116"/>
      <c r="AD59" s="134"/>
      <c r="AE59" s="116"/>
      <c r="AF59" s="116"/>
      <c r="AG59" s="116"/>
      <c r="AH59" s="116"/>
      <c r="AI59" s="116"/>
      <c r="AJ59" s="116"/>
      <c r="AK59" s="116"/>
      <c r="AL59" s="116"/>
      <c r="AM59" s="365" t="s">
        <v>54</v>
      </c>
      <c r="AN59" s="366"/>
      <c r="AO59" s="125"/>
      <c r="AS59" s="109"/>
      <c r="AT59" s="109"/>
      <c r="AU59" s="109"/>
      <c r="AV59" s="109"/>
      <c r="AW59" s="109"/>
      <c r="AX59" s="109"/>
    </row>
    <row r="60" spans="1:50" s="110" customFormat="1" ht="16" thickBot="1" x14ac:dyDescent="0.25">
      <c r="A60" s="108"/>
      <c r="B60" s="109"/>
      <c r="C60" s="373"/>
      <c r="D60" s="374"/>
      <c r="E60" s="374"/>
      <c r="F60" s="375"/>
      <c r="G60" s="122"/>
      <c r="H60" s="122"/>
      <c r="I60" s="122"/>
      <c r="J60" s="122"/>
      <c r="K60" s="131"/>
      <c r="L60" s="122"/>
      <c r="M60" s="130"/>
      <c r="N60" s="122"/>
      <c r="O60" s="122"/>
      <c r="P60" s="130"/>
      <c r="Q60" s="122"/>
      <c r="R60" s="122"/>
      <c r="S60" s="130"/>
      <c r="T60" s="122"/>
      <c r="U60" s="130"/>
      <c r="V60" s="130"/>
      <c r="W60" s="122"/>
      <c r="X60" s="122"/>
      <c r="Y60" s="130"/>
      <c r="Z60" s="122"/>
      <c r="AA60" s="122"/>
      <c r="AB60" s="122"/>
      <c r="AC60" s="122"/>
      <c r="AD60" s="134"/>
      <c r="AE60" s="116"/>
      <c r="AF60" s="122"/>
      <c r="AG60" s="122"/>
      <c r="AH60" s="122"/>
      <c r="AI60" s="122"/>
      <c r="AJ60" s="122"/>
      <c r="AK60" s="122"/>
      <c r="AL60" s="363" t="s">
        <v>49</v>
      </c>
      <c r="AM60" s="363"/>
      <c r="AN60" s="364"/>
      <c r="AO60" s="125"/>
      <c r="AS60" s="109"/>
      <c r="AT60" s="109"/>
      <c r="AU60" s="109"/>
      <c r="AV60" s="109"/>
      <c r="AW60" s="109"/>
      <c r="AX60" s="109"/>
    </row>
    <row r="61" spans="1:50" ht="31" thickBot="1" x14ac:dyDescent="0.25">
      <c r="A61" s="37" t="s">
        <v>82</v>
      </c>
      <c r="C61" s="117" t="s">
        <v>0</v>
      </c>
      <c r="D61" s="118"/>
      <c r="E61" s="118" t="s">
        <v>1</v>
      </c>
      <c r="F61" s="119"/>
      <c r="G61" s="69">
        <v>44927</v>
      </c>
      <c r="H61" s="69">
        <v>44958</v>
      </c>
      <c r="I61" s="69">
        <v>44986</v>
      </c>
      <c r="J61" s="69">
        <v>45017</v>
      </c>
      <c r="K61" s="69">
        <v>45047</v>
      </c>
      <c r="L61" s="69">
        <v>45078</v>
      </c>
      <c r="M61" s="69">
        <v>45108</v>
      </c>
      <c r="N61" s="69">
        <v>45139</v>
      </c>
      <c r="O61" s="69">
        <v>45170</v>
      </c>
      <c r="P61" s="69">
        <v>45200</v>
      </c>
      <c r="Q61" s="69">
        <v>45231</v>
      </c>
      <c r="R61" s="69">
        <v>45261</v>
      </c>
      <c r="S61" s="70">
        <v>45292</v>
      </c>
      <c r="T61" s="70">
        <v>45323</v>
      </c>
      <c r="U61" s="70">
        <v>45352</v>
      </c>
      <c r="V61" s="70">
        <v>45383</v>
      </c>
      <c r="W61" s="70">
        <v>45413</v>
      </c>
      <c r="X61" s="70">
        <v>45444</v>
      </c>
      <c r="Y61" s="70">
        <v>45474</v>
      </c>
      <c r="Z61" s="70">
        <v>45505</v>
      </c>
      <c r="AA61" s="70">
        <v>45536</v>
      </c>
      <c r="AB61" s="70">
        <v>45566</v>
      </c>
      <c r="AC61" s="70">
        <v>45597</v>
      </c>
      <c r="AD61" s="70">
        <v>45627</v>
      </c>
      <c r="AE61" s="70"/>
      <c r="AF61" s="70">
        <v>45658</v>
      </c>
      <c r="AG61" s="70">
        <v>45689</v>
      </c>
      <c r="AH61" s="70">
        <v>45717</v>
      </c>
      <c r="AI61" s="70">
        <v>45748</v>
      </c>
      <c r="AJ61" s="70">
        <v>45778</v>
      </c>
      <c r="AK61" s="70">
        <v>45809</v>
      </c>
      <c r="AL61" s="70">
        <v>45839</v>
      </c>
      <c r="AM61" s="70">
        <v>45870</v>
      </c>
      <c r="AN61" s="70">
        <v>45901</v>
      </c>
      <c r="AO61" s="70">
        <v>45931</v>
      </c>
      <c r="AP61" s="16" t="s">
        <v>2</v>
      </c>
      <c r="AQ61" s="17" t="s">
        <v>6</v>
      </c>
      <c r="AR61" s="17" t="s">
        <v>7</v>
      </c>
    </row>
    <row r="62" spans="1:50" s="28" customFormat="1" x14ac:dyDescent="0.2">
      <c r="A62" s="33" t="s">
        <v>32</v>
      </c>
      <c r="B62" s="23"/>
      <c r="C62" s="330" t="s">
        <v>3</v>
      </c>
      <c r="D62" s="331"/>
      <c r="E62" s="331"/>
      <c r="F62" s="331"/>
      <c r="G62" s="334">
        <v>2023</v>
      </c>
      <c r="H62" s="335"/>
      <c r="I62" s="335"/>
      <c r="J62" s="335"/>
      <c r="K62" s="335"/>
      <c r="L62" s="335"/>
      <c r="M62" s="335"/>
      <c r="N62" s="335"/>
      <c r="O62" s="335"/>
      <c r="P62" s="335"/>
      <c r="Q62" s="335"/>
      <c r="R62" s="336"/>
      <c r="S62" s="308">
        <v>2024</v>
      </c>
      <c r="T62" s="309"/>
      <c r="U62" s="309"/>
      <c r="V62" s="309"/>
      <c r="W62" s="309"/>
      <c r="X62" s="309"/>
      <c r="Y62" s="309"/>
      <c r="Z62" s="309"/>
      <c r="AA62" s="309"/>
      <c r="AB62" s="309"/>
      <c r="AC62" s="309"/>
      <c r="AD62" s="310"/>
      <c r="AE62" s="148"/>
      <c r="AF62" s="308">
        <v>2025</v>
      </c>
      <c r="AG62" s="309"/>
      <c r="AH62" s="309"/>
      <c r="AI62" s="309"/>
      <c r="AJ62" s="309"/>
      <c r="AK62" s="309"/>
      <c r="AL62" s="309"/>
      <c r="AM62" s="309"/>
      <c r="AN62" s="309"/>
      <c r="AO62" s="310"/>
      <c r="AP62" s="27"/>
      <c r="AQ62" s="27"/>
      <c r="AR62" s="27"/>
      <c r="AS62" s="23"/>
      <c r="AT62" s="23"/>
      <c r="AU62" s="23"/>
      <c r="AV62" s="23"/>
      <c r="AW62" s="23"/>
      <c r="AX62" s="23"/>
    </row>
    <row r="63" spans="1:50" s="28" customFormat="1" x14ac:dyDescent="0.2">
      <c r="A63" s="34"/>
      <c r="B63" s="23"/>
      <c r="C63" s="332" t="s">
        <v>4</v>
      </c>
      <c r="D63" s="333"/>
      <c r="E63" s="333"/>
      <c r="F63" s="333"/>
      <c r="G63" s="1">
        <f>(H61-G61)/7</f>
        <v>4.4285714285714288</v>
      </c>
      <c r="H63" s="2">
        <f t="shared" ref="H63:AC63" si="17">(I61-H61)/7</f>
        <v>4</v>
      </c>
      <c r="I63" s="2">
        <f t="shared" si="17"/>
        <v>4.4285714285714288</v>
      </c>
      <c r="J63" s="2">
        <f t="shared" si="17"/>
        <v>4.2857142857142856</v>
      </c>
      <c r="K63" s="2">
        <f t="shared" si="17"/>
        <v>4.4285714285714288</v>
      </c>
      <c r="L63" s="2">
        <f t="shared" si="17"/>
        <v>4.2857142857142856</v>
      </c>
      <c r="M63" s="2">
        <f t="shared" si="17"/>
        <v>4.4285714285714288</v>
      </c>
      <c r="N63" s="2">
        <f t="shared" si="17"/>
        <v>4.4285714285714288</v>
      </c>
      <c r="O63" s="2">
        <f t="shared" si="17"/>
        <v>4.2857142857142856</v>
      </c>
      <c r="P63" s="2">
        <f t="shared" si="17"/>
        <v>4.4285714285714288</v>
      </c>
      <c r="Q63" s="2">
        <f t="shared" si="17"/>
        <v>4.2857142857142856</v>
      </c>
      <c r="R63" s="3">
        <f t="shared" si="17"/>
        <v>4.4285714285714288</v>
      </c>
      <c r="S63" s="1">
        <f t="shared" si="17"/>
        <v>4.4285714285714288</v>
      </c>
      <c r="T63" s="2">
        <f t="shared" si="17"/>
        <v>4.1428571428571432</v>
      </c>
      <c r="U63" s="2">
        <f t="shared" si="17"/>
        <v>4.4285714285714288</v>
      </c>
      <c r="V63" s="2">
        <f t="shared" si="17"/>
        <v>4.2857142857142856</v>
      </c>
      <c r="W63" s="2">
        <f t="shared" si="17"/>
        <v>4.4285714285714288</v>
      </c>
      <c r="X63" s="2">
        <f t="shared" si="17"/>
        <v>4.2857142857142856</v>
      </c>
      <c r="Y63" s="2">
        <f t="shared" si="17"/>
        <v>4.4285714285714288</v>
      </c>
      <c r="Z63" s="2">
        <f t="shared" si="17"/>
        <v>4.4285714285714288</v>
      </c>
      <c r="AA63" s="2">
        <f t="shared" si="17"/>
        <v>4.2857142857142856</v>
      </c>
      <c r="AB63" s="2">
        <f t="shared" si="17"/>
        <v>4.4285714285714288</v>
      </c>
      <c r="AC63" s="2">
        <f t="shared" si="17"/>
        <v>4.2857142857142856</v>
      </c>
      <c r="AD63" s="3">
        <f>(AF61-AD61)/7</f>
        <v>4.4285714285714288</v>
      </c>
      <c r="AE63" s="149"/>
      <c r="AF63" s="2">
        <f t="shared" ref="AF63:AN63" si="18">(AG61-AF61)/7</f>
        <v>4.4285714285714288</v>
      </c>
      <c r="AG63" s="2">
        <f t="shared" si="18"/>
        <v>4</v>
      </c>
      <c r="AH63" s="2">
        <f t="shared" si="18"/>
        <v>4.4285714285714288</v>
      </c>
      <c r="AI63" s="2">
        <f t="shared" si="18"/>
        <v>4.2857142857142856</v>
      </c>
      <c r="AJ63" s="2">
        <f t="shared" si="18"/>
        <v>4.4285714285714288</v>
      </c>
      <c r="AK63" s="2">
        <f t="shared" si="18"/>
        <v>4.2857142857142856</v>
      </c>
      <c r="AL63" s="2">
        <f t="shared" si="18"/>
        <v>4.4285714285714288</v>
      </c>
      <c r="AM63" s="2">
        <f t="shared" si="18"/>
        <v>4.4285714285714288</v>
      </c>
      <c r="AN63" s="2">
        <f t="shared" si="18"/>
        <v>4.2857142857142856</v>
      </c>
      <c r="AO63" s="3"/>
      <c r="AP63" s="4"/>
      <c r="AQ63" s="4"/>
      <c r="AR63" s="4"/>
      <c r="AS63" s="23"/>
      <c r="AT63" s="23"/>
      <c r="AU63" s="23"/>
      <c r="AV63" s="23"/>
      <c r="AW63" s="23"/>
      <c r="AX63" s="23"/>
    </row>
    <row r="64" spans="1:50" s="28" customFormat="1" x14ac:dyDescent="0.2">
      <c r="A64" s="34"/>
      <c r="B64" s="23"/>
      <c r="C64" s="332" t="s">
        <v>5</v>
      </c>
      <c r="D64" s="333"/>
      <c r="E64" s="333"/>
      <c r="F64" s="333"/>
      <c r="G64" s="1">
        <v>1</v>
      </c>
      <c r="H64" s="2">
        <f t="shared" ref="H64:L64" si="19">G64</f>
        <v>1</v>
      </c>
      <c r="I64" s="2">
        <f t="shared" si="19"/>
        <v>1</v>
      </c>
      <c r="J64" s="2">
        <f t="shared" si="19"/>
        <v>1</v>
      </c>
      <c r="K64" s="2">
        <f t="shared" si="19"/>
        <v>1</v>
      </c>
      <c r="L64" s="2">
        <f t="shared" si="19"/>
        <v>1</v>
      </c>
      <c r="M64" s="2">
        <v>1.05</v>
      </c>
      <c r="N64" s="2">
        <f t="shared" ref="N64:X64" si="20">M64</f>
        <v>1.05</v>
      </c>
      <c r="O64" s="2">
        <f t="shared" si="20"/>
        <v>1.05</v>
      </c>
      <c r="P64" s="2">
        <f t="shared" si="20"/>
        <v>1.05</v>
      </c>
      <c r="Q64" s="2">
        <f t="shared" si="20"/>
        <v>1.05</v>
      </c>
      <c r="R64" s="3">
        <f t="shared" si="20"/>
        <v>1.05</v>
      </c>
      <c r="S64" s="1">
        <f t="shared" si="20"/>
        <v>1.05</v>
      </c>
      <c r="T64" s="2">
        <f t="shared" si="20"/>
        <v>1.05</v>
      </c>
      <c r="U64" s="2">
        <f t="shared" si="20"/>
        <v>1.05</v>
      </c>
      <c r="V64" s="2">
        <f t="shared" si="20"/>
        <v>1.05</v>
      </c>
      <c r="W64" s="2">
        <f t="shared" si="20"/>
        <v>1.05</v>
      </c>
      <c r="X64" s="2">
        <f t="shared" si="20"/>
        <v>1.05</v>
      </c>
      <c r="Y64" s="2">
        <f>X64*1.05</f>
        <v>1.1025</v>
      </c>
      <c r="Z64" s="2">
        <f t="shared" ref="Z64" si="21">Y64</f>
        <v>1.1025</v>
      </c>
      <c r="AA64" s="2">
        <f>Z64</f>
        <v>1.1025</v>
      </c>
      <c r="AB64" s="2">
        <f>AA64</f>
        <v>1.1025</v>
      </c>
      <c r="AC64" s="2">
        <f>AB64</f>
        <v>1.1025</v>
      </c>
      <c r="AD64" s="3">
        <f>AC64</f>
        <v>1.1025</v>
      </c>
      <c r="AE64" s="149"/>
      <c r="AF64" s="2">
        <f>AD64</f>
        <v>1.1025</v>
      </c>
      <c r="AG64" s="2">
        <f t="shared" ref="AG64:AN64" si="22">AF64</f>
        <v>1.1025</v>
      </c>
      <c r="AH64" s="2">
        <f t="shared" si="22"/>
        <v>1.1025</v>
      </c>
      <c r="AI64" s="2">
        <f t="shared" si="22"/>
        <v>1.1025</v>
      </c>
      <c r="AJ64" s="2">
        <f t="shared" si="22"/>
        <v>1.1025</v>
      </c>
      <c r="AK64" s="2">
        <f t="shared" si="22"/>
        <v>1.1025</v>
      </c>
      <c r="AL64" s="2">
        <f t="shared" si="22"/>
        <v>1.1025</v>
      </c>
      <c r="AM64" s="2">
        <f t="shared" si="22"/>
        <v>1.1025</v>
      </c>
      <c r="AN64" s="2">
        <f t="shared" si="22"/>
        <v>1.1025</v>
      </c>
      <c r="AO64" s="3"/>
      <c r="AP64" s="4"/>
      <c r="AQ64" s="4"/>
      <c r="AR64" s="4"/>
      <c r="AS64" s="23"/>
      <c r="AT64" s="23"/>
      <c r="AU64" s="23"/>
      <c r="AV64" s="23"/>
      <c r="AW64" s="23"/>
      <c r="AX64" s="23"/>
    </row>
    <row r="65" spans="1:45" x14ac:dyDescent="0.2">
      <c r="A65" s="34"/>
      <c r="C65" s="29" t="s">
        <v>37</v>
      </c>
      <c r="D65" s="21"/>
      <c r="E65" s="61" t="s">
        <v>79</v>
      </c>
      <c r="F65" s="12"/>
      <c r="G65" s="5"/>
      <c r="H65" s="6"/>
      <c r="I65" s="6"/>
      <c r="J65" s="6"/>
      <c r="K65" s="6"/>
      <c r="L65" s="6"/>
      <c r="M65" s="6"/>
      <c r="N65" s="6"/>
      <c r="O65" s="6"/>
      <c r="P65" s="6"/>
      <c r="Q65" s="6"/>
      <c r="R65" s="15"/>
      <c r="S65" s="5"/>
      <c r="T65" s="6"/>
      <c r="U65" s="6"/>
      <c r="V65" s="6"/>
      <c r="W65" s="6"/>
      <c r="X65" s="6"/>
      <c r="Y65" s="6"/>
      <c r="Z65" s="6"/>
      <c r="AA65" s="6"/>
      <c r="AB65" s="6"/>
      <c r="AC65" s="6"/>
      <c r="AD65" s="7"/>
      <c r="AE65" s="15"/>
      <c r="AF65" s="6"/>
      <c r="AG65" s="6"/>
      <c r="AH65" s="6"/>
      <c r="AI65" s="6"/>
      <c r="AJ65" s="6"/>
      <c r="AK65" s="6"/>
      <c r="AL65" s="6"/>
      <c r="AM65" s="6"/>
      <c r="AN65" s="6"/>
      <c r="AO65" s="13"/>
      <c r="AP65" s="8"/>
      <c r="AQ65" s="8"/>
      <c r="AR65" s="8"/>
    </row>
    <row r="66" spans="1:45" x14ac:dyDescent="0.2">
      <c r="A66" s="35">
        <v>10876.281755196305</v>
      </c>
      <c r="C66" s="53"/>
      <c r="D66" s="58" t="s">
        <v>14</v>
      </c>
      <c r="E66" s="71">
        <f t="shared" ref="E66:E76" si="23">A66*0.9</f>
        <v>9788.6535796766748</v>
      </c>
      <c r="F66" s="54"/>
      <c r="G66" s="63"/>
      <c r="H66" s="41"/>
      <c r="I66" s="41"/>
      <c r="J66" s="41"/>
      <c r="K66" s="41"/>
      <c r="L66" s="41"/>
      <c r="M66" s="41">
        <v>0.1</v>
      </c>
      <c r="N66" s="41">
        <v>0.1</v>
      </c>
      <c r="O66" s="41">
        <v>0.25</v>
      </c>
      <c r="P66" s="41">
        <v>0.25</v>
      </c>
      <c r="Q66" s="41">
        <v>0.1</v>
      </c>
      <c r="R66" s="75">
        <v>0.1</v>
      </c>
      <c r="S66" s="63">
        <v>0.1</v>
      </c>
      <c r="T66" s="41">
        <v>0.1</v>
      </c>
      <c r="U66" s="41">
        <v>0.1</v>
      </c>
      <c r="V66" s="41">
        <v>0.1</v>
      </c>
      <c r="W66" s="41">
        <v>0.1</v>
      </c>
      <c r="X66" s="41">
        <v>0.1</v>
      </c>
      <c r="Y66" s="41">
        <v>0.1</v>
      </c>
      <c r="Z66" s="41">
        <v>0.1</v>
      </c>
      <c r="AA66" s="41">
        <v>0.1</v>
      </c>
      <c r="AB66" s="41">
        <v>0.1</v>
      </c>
      <c r="AC66" s="41">
        <v>0.1</v>
      </c>
      <c r="AD66" s="76">
        <v>0.1</v>
      </c>
      <c r="AE66" s="150"/>
      <c r="AF66" s="41">
        <v>0.1</v>
      </c>
      <c r="AG66" s="41">
        <v>0.1</v>
      </c>
      <c r="AH66" s="41">
        <v>0.1</v>
      </c>
      <c r="AI66" s="41">
        <v>0.1</v>
      </c>
      <c r="AJ66" s="41">
        <v>0.1</v>
      </c>
      <c r="AK66" s="41">
        <v>0.1</v>
      </c>
      <c r="AL66" s="41">
        <v>0.2</v>
      </c>
      <c r="AM66" s="41">
        <v>0.25</v>
      </c>
      <c r="AN66" s="41">
        <v>0.1</v>
      </c>
      <c r="AO66" s="52"/>
      <c r="AP66" s="30">
        <f t="shared" ref="AP66:AP76" si="24">SUMPRODUCT(G66:AO66,$G$63:$AO$63,$G$64:$AO$64)*(E66)</f>
        <v>149579.19176934185</v>
      </c>
      <c r="AQ66" s="57">
        <f>COUNT(G66:AN66)</f>
        <v>27</v>
      </c>
      <c r="AR66" s="30">
        <f>AP66/AQ66</f>
        <v>5539.9700655311799</v>
      </c>
    </row>
    <row r="67" spans="1:45" x14ac:dyDescent="0.2">
      <c r="A67" s="35">
        <v>9887.5288683602776</v>
      </c>
      <c r="C67" s="53"/>
      <c r="D67" s="58" t="s">
        <v>12</v>
      </c>
      <c r="E67" s="71">
        <f t="shared" si="23"/>
        <v>8898.7759815242498</v>
      </c>
      <c r="F67" s="54"/>
      <c r="G67" s="63"/>
      <c r="H67" s="41"/>
      <c r="I67" s="41"/>
      <c r="J67" s="41"/>
      <c r="K67" s="41">
        <v>0.1</v>
      </c>
      <c r="L67" s="41">
        <v>0.1</v>
      </c>
      <c r="M67" s="41">
        <v>0.25</v>
      </c>
      <c r="N67" s="41">
        <v>0.25</v>
      </c>
      <c r="O67" s="41">
        <v>0.25</v>
      </c>
      <c r="P67" s="41">
        <v>0.1</v>
      </c>
      <c r="Q67" s="41">
        <v>0.1</v>
      </c>
      <c r="R67" s="76">
        <v>0.1</v>
      </c>
      <c r="S67" s="63">
        <v>0.1</v>
      </c>
      <c r="T67" s="41">
        <v>0.1</v>
      </c>
      <c r="U67" s="41">
        <v>0.1</v>
      </c>
      <c r="V67" s="41">
        <v>0.05</v>
      </c>
      <c r="W67" s="41">
        <v>0.05</v>
      </c>
      <c r="X67" s="41">
        <v>0.05</v>
      </c>
      <c r="Y67" s="41">
        <v>0.05</v>
      </c>
      <c r="Z67" s="41">
        <v>0.05</v>
      </c>
      <c r="AA67" s="41">
        <v>0.05</v>
      </c>
      <c r="AB67" s="41">
        <v>0.05</v>
      </c>
      <c r="AC67" s="41">
        <v>0.05</v>
      </c>
      <c r="AD67" s="76">
        <v>0.05</v>
      </c>
      <c r="AE67" s="150"/>
      <c r="AF67" s="41">
        <v>0.05</v>
      </c>
      <c r="AG67" s="41">
        <v>0.05</v>
      </c>
      <c r="AH67" s="41">
        <v>0.05</v>
      </c>
      <c r="AI67" s="41">
        <v>0.05</v>
      </c>
      <c r="AJ67" s="41">
        <v>0.05</v>
      </c>
      <c r="AK67" s="41">
        <v>0.05</v>
      </c>
      <c r="AL67" s="41">
        <v>0.05</v>
      </c>
      <c r="AM67" s="41">
        <v>0.05</v>
      </c>
      <c r="AN67" s="41">
        <v>0.05</v>
      </c>
      <c r="AO67" s="52"/>
      <c r="AP67" s="30">
        <f t="shared" si="24"/>
        <v>100981.56186448368</v>
      </c>
      <c r="AQ67" s="57">
        <f t="shared" ref="AQ67:AQ76" si="25">COUNT(G67:AN67)</f>
        <v>29</v>
      </c>
      <c r="AR67" s="30">
        <f t="shared" ref="AR67:AR76" si="26">AP67/AQ67</f>
        <v>3482.1228229132303</v>
      </c>
    </row>
    <row r="68" spans="1:45" x14ac:dyDescent="0.2">
      <c r="A68" s="35">
        <v>6464.8960739030026</v>
      </c>
      <c r="C68" s="53"/>
      <c r="D68" s="58" t="s">
        <v>11</v>
      </c>
      <c r="E68" s="71">
        <f t="shared" si="23"/>
        <v>5818.4064665127025</v>
      </c>
      <c r="F68" s="54"/>
      <c r="G68" s="63"/>
      <c r="H68" s="41"/>
      <c r="I68" s="41"/>
      <c r="J68" s="41"/>
      <c r="K68" s="41">
        <v>0.1</v>
      </c>
      <c r="L68" s="41">
        <v>0.1</v>
      </c>
      <c r="M68" s="41">
        <v>0.25</v>
      </c>
      <c r="N68" s="41">
        <v>0.25</v>
      </c>
      <c r="O68" s="41">
        <v>0.25</v>
      </c>
      <c r="P68" s="41">
        <v>0.1</v>
      </c>
      <c r="Q68" s="41">
        <v>0.1</v>
      </c>
      <c r="R68" s="76">
        <v>0.25</v>
      </c>
      <c r="S68" s="41">
        <v>0.1</v>
      </c>
      <c r="T68" s="41">
        <v>0.1</v>
      </c>
      <c r="U68" s="41">
        <v>0.1</v>
      </c>
      <c r="V68" s="41">
        <v>0.1</v>
      </c>
      <c r="W68" s="41">
        <v>0.2</v>
      </c>
      <c r="X68" s="41">
        <v>0.2</v>
      </c>
      <c r="Y68" s="41">
        <v>0.2</v>
      </c>
      <c r="Z68" s="41">
        <v>0.2</v>
      </c>
      <c r="AA68" s="41">
        <v>0.2</v>
      </c>
      <c r="AB68" s="41">
        <v>0.2</v>
      </c>
      <c r="AC68" s="41">
        <v>0.2</v>
      </c>
      <c r="AD68" s="76">
        <v>0.2</v>
      </c>
      <c r="AE68" s="150"/>
      <c r="AF68" s="41">
        <v>0.2</v>
      </c>
      <c r="AG68" s="41">
        <v>0.2</v>
      </c>
      <c r="AH68" s="41">
        <v>0.2</v>
      </c>
      <c r="AI68" s="41">
        <v>0.2</v>
      </c>
      <c r="AJ68" s="41">
        <v>0.2</v>
      </c>
      <c r="AK68" s="41">
        <v>0.2</v>
      </c>
      <c r="AL68" s="41">
        <v>0.3</v>
      </c>
      <c r="AM68" s="41">
        <v>0.3</v>
      </c>
      <c r="AN68" s="41">
        <v>0.3</v>
      </c>
      <c r="AO68" s="52"/>
      <c r="AP68" s="30">
        <f t="shared" si="24"/>
        <v>150629.40020785222</v>
      </c>
      <c r="AQ68" s="57">
        <f t="shared" si="25"/>
        <v>29</v>
      </c>
      <c r="AR68" s="30">
        <f t="shared" si="26"/>
        <v>5194.1172485466286</v>
      </c>
    </row>
    <row r="69" spans="1:45" x14ac:dyDescent="0.2">
      <c r="A69" s="35">
        <v>5391.6859122401847</v>
      </c>
      <c r="C69" s="53"/>
      <c r="D69" s="58" t="s">
        <v>8</v>
      </c>
      <c r="E69" s="71">
        <f t="shared" si="23"/>
        <v>4852.5173210161665</v>
      </c>
      <c r="F69" s="54"/>
      <c r="G69" s="63">
        <v>0.5</v>
      </c>
      <c r="H69" s="41">
        <v>0.5</v>
      </c>
      <c r="I69" s="41">
        <v>0.25</v>
      </c>
      <c r="J69" s="41">
        <v>0.1</v>
      </c>
      <c r="K69" s="41">
        <v>0.1</v>
      </c>
      <c r="L69" s="41"/>
      <c r="M69" s="41"/>
      <c r="N69" s="41"/>
      <c r="O69" s="41"/>
      <c r="P69" s="41"/>
      <c r="Q69" s="41"/>
      <c r="R69" s="76"/>
      <c r="S69" s="63"/>
      <c r="T69" s="41"/>
      <c r="U69" s="41"/>
      <c r="V69" s="41"/>
      <c r="W69" s="41"/>
      <c r="X69" s="41"/>
      <c r="Y69" s="41"/>
      <c r="Z69" s="41"/>
      <c r="AA69" s="41"/>
      <c r="AB69" s="41"/>
      <c r="AC69" s="41"/>
      <c r="AD69" s="76"/>
      <c r="AE69" s="150"/>
      <c r="AF69" s="41"/>
      <c r="AG69" s="41"/>
      <c r="AH69" s="41"/>
      <c r="AI69" s="41"/>
      <c r="AJ69" s="41"/>
      <c r="AK69" s="41"/>
      <c r="AL69" s="41"/>
      <c r="AM69" s="41"/>
      <c r="AN69" s="41"/>
      <c r="AO69" s="52"/>
      <c r="AP69" s="30">
        <f t="shared" si="24"/>
        <v>30050.946552292975</v>
      </c>
      <c r="AQ69" s="57">
        <f>COUNT(G69:AN69)</f>
        <v>5</v>
      </c>
      <c r="AR69" s="30">
        <f t="shared" si="26"/>
        <v>6010.1893104585952</v>
      </c>
    </row>
    <row r="70" spans="1:45" x14ac:dyDescent="0.2">
      <c r="A70" s="35">
        <v>5391.6859122401847</v>
      </c>
      <c r="C70" s="53"/>
      <c r="D70" s="58" t="s">
        <v>9</v>
      </c>
      <c r="E70" s="71">
        <f t="shared" si="23"/>
        <v>4852.5173210161665</v>
      </c>
      <c r="F70" s="54"/>
      <c r="G70" s="63">
        <v>1</v>
      </c>
      <c r="H70" s="41">
        <v>1</v>
      </c>
      <c r="I70" s="41">
        <v>0.5</v>
      </c>
      <c r="J70" s="41">
        <v>0.25</v>
      </c>
      <c r="K70" s="41">
        <v>0.1</v>
      </c>
      <c r="L70" s="41">
        <v>0.1</v>
      </c>
      <c r="M70" s="41">
        <v>0.05</v>
      </c>
      <c r="N70" s="41">
        <v>0.05</v>
      </c>
      <c r="O70" s="41"/>
      <c r="P70" s="41"/>
      <c r="Q70" s="41"/>
      <c r="R70" s="76"/>
      <c r="S70" s="63"/>
      <c r="T70" s="41"/>
      <c r="U70" s="41"/>
      <c r="V70" s="41"/>
      <c r="W70" s="41"/>
      <c r="X70" s="41"/>
      <c r="Y70" s="41"/>
      <c r="Z70" s="41"/>
      <c r="AA70" s="41"/>
      <c r="AB70" s="41"/>
      <c r="AC70" s="41"/>
      <c r="AD70" s="76"/>
      <c r="AE70" s="150"/>
      <c r="AF70" s="41"/>
      <c r="AG70" s="41"/>
      <c r="AH70" s="41"/>
      <c r="AI70" s="41"/>
      <c r="AJ70" s="41"/>
      <c r="AK70" s="41"/>
      <c r="AL70" s="41"/>
      <c r="AM70" s="41"/>
      <c r="AN70" s="41"/>
      <c r="AO70" s="52"/>
      <c r="AP70" s="30">
        <f t="shared" si="24"/>
        <v>63328.817123061694</v>
      </c>
      <c r="AQ70" s="57">
        <f t="shared" si="25"/>
        <v>8</v>
      </c>
      <c r="AR70" s="30">
        <f t="shared" si="26"/>
        <v>7916.1021403827117</v>
      </c>
    </row>
    <row r="71" spans="1:45" x14ac:dyDescent="0.2">
      <c r="A71" s="35">
        <v>3802.7713625866049</v>
      </c>
      <c r="C71" s="53"/>
      <c r="D71" s="58" t="s">
        <v>28</v>
      </c>
      <c r="E71" s="71">
        <f t="shared" si="23"/>
        <v>3422.4942263279445</v>
      </c>
      <c r="F71" s="54"/>
      <c r="G71" s="63">
        <v>1</v>
      </c>
      <c r="H71" s="41">
        <v>1</v>
      </c>
      <c r="I71" s="41">
        <v>0.5</v>
      </c>
      <c r="J71" s="41">
        <v>0.25</v>
      </c>
      <c r="K71" s="41">
        <v>0.1</v>
      </c>
      <c r="L71" s="41">
        <v>0.1</v>
      </c>
      <c r="M71" s="41">
        <v>0.05</v>
      </c>
      <c r="N71" s="41">
        <v>0.05</v>
      </c>
      <c r="O71" s="41"/>
      <c r="P71" s="41"/>
      <c r="Q71" s="41"/>
      <c r="R71" s="76"/>
      <c r="S71" s="63"/>
      <c r="T71" s="41"/>
      <c r="U71" s="41"/>
      <c r="V71" s="41"/>
      <c r="W71" s="41"/>
      <c r="X71" s="41"/>
      <c r="Y71" s="41"/>
      <c r="Z71" s="41"/>
      <c r="AA71" s="41"/>
      <c r="AB71" s="41"/>
      <c r="AC71" s="41"/>
      <c r="AD71" s="76"/>
      <c r="AE71" s="150"/>
      <c r="AF71" s="41"/>
      <c r="AG71" s="41"/>
      <c r="AH71" s="41"/>
      <c r="AI71" s="41"/>
      <c r="AJ71" s="41"/>
      <c r="AK71" s="41"/>
      <c r="AL71" s="41"/>
      <c r="AM71" s="41"/>
      <c r="AN71" s="41"/>
      <c r="AO71" s="52"/>
      <c r="AP71" s="30">
        <f t="shared" si="24"/>
        <v>44665.994292312767</v>
      </c>
      <c r="AQ71" s="57">
        <f t="shared" si="25"/>
        <v>8</v>
      </c>
      <c r="AR71" s="30">
        <f t="shared" si="26"/>
        <v>5583.2492865390959</v>
      </c>
    </row>
    <row r="72" spans="1:45" x14ac:dyDescent="0.2">
      <c r="A72" s="35">
        <v>3004.1570438799076</v>
      </c>
      <c r="C72" s="53"/>
      <c r="D72" s="58" t="s">
        <v>10</v>
      </c>
      <c r="E72" s="71">
        <f t="shared" si="23"/>
        <v>2703.7413394919167</v>
      </c>
      <c r="F72" s="54"/>
      <c r="G72" s="63">
        <v>1</v>
      </c>
      <c r="H72" s="41">
        <v>1</v>
      </c>
      <c r="I72" s="41">
        <v>0.5</v>
      </c>
      <c r="J72" s="41">
        <v>0.25</v>
      </c>
      <c r="K72" s="41"/>
      <c r="L72" s="41"/>
      <c r="M72" s="41"/>
      <c r="N72" s="41"/>
      <c r="O72" s="41"/>
      <c r="P72" s="41"/>
      <c r="Q72" s="41"/>
      <c r="R72" s="76"/>
      <c r="S72" s="63"/>
      <c r="T72" s="41"/>
      <c r="U72" s="41"/>
      <c r="V72" s="41"/>
      <c r="W72" s="41"/>
      <c r="X72" s="41"/>
      <c r="Y72" s="41"/>
      <c r="Z72" s="41"/>
      <c r="AA72" s="41"/>
      <c r="AB72" s="41"/>
      <c r="AC72" s="41"/>
      <c r="AD72" s="76"/>
      <c r="AE72" s="150"/>
      <c r="AF72" s="41"/>
      <c r="AG72" s="41"/>
      <c r="AH72" s="41"/>
      <c r="AI72" s="41"/>
      <c r="AJ72" s="41"/>
      <c r="AK72" s="41"/>
      <c r="AL72" s="41"/>
      <c r="AM72" s="41"/>
      <c r="AN72" s="41"/>
      <c r="AO72" s="52"/>
      <c r="AP72" s="30">
        <f t="shared" si="24"/>
        <v>31672.39854833388</v>
      </c>
      <c r="AQ72" s="57">
        <f t="shared" si="25"/>
        <v>4</v>
      </c>
      <c r="AR72" s="30">
        <f t="shared" si="26"/>
        <v>7918.09963708347</v>
      </c>
    </row>
    <row r="73" spans="1:45" x14ac:dyDescent="0.2">
      <c r="A73" s="35">
        <v>5057.7367205542723</v>
      </c>
      <c r="C73" s="53"/>
      <c r="D73" s="58" t="s">
        <v>29</v>
      </c>
      <c r="E73" s="71">
        <f t="shared" si="23"/>
        <v>4551.9630484988456</v>
      </c>
      <c r="F73" s="54"/>
      <c r="G73" s="63">
        <v>1</v>
      </c>
      <c r="H73" s="41">
        <v>1</v>
      </c>
      <c r="I73" s="41">
        <v>0.5</v>
      </c>
      <c r="J73" s="41">
        <v>0.25</v>
      </c>
      <c r="K73" s="41">
        <v>0.1</v>
      </c>
      <c r="L73" s="41"/>
      <c r="M73" s="41"/>
      <c r="N73" s="41"/>
      <c r="O73" s="41"/>
      <c r="P73" s="41"/>
      <c r="Q73" s="41"/>
      <c r="R73" s="76"/>
      <c r="S73" s="63"/>
      <c r="T73" s="41"/>
      <c r="U73" s="41"/>
      <c r="V73" s="41"/>
      <c r="W73" s="41"/>
      <c r="X73" s="41"/>
      <c r="Y73" s="41"/>
      <c r="Z73" s="41"/>
      <c r="AA73" s="41"/>
      <c r="AB73" s="41"/>
      <c r="AC73" s="41"/>
      <c r="AD73" s="76"/>
      <c r="AE73" s="150"/>
      <c r="AF73" s="41"/>
      <c r="AG73" s="41"/>
      <c r="AH73" s="41"/>
      <c r="AI73" s="41"/>
      <c r="AJ73" s="41"/>
      <c r="AK73" s="41"/>
      <c r="AL73" s="41"/>
      <c r="AM73" s="41"/>
      <c r="AN73" s="41"/>
      <c r="AO73" s="52"/>
      <c r="AP73" s="30">
        <f t="shared" si="24"/>
        <v>55338.865061035962</v>
      </c>
      <c r="AQ73" s="57">
        <f t="shared" si="25"/>
        <v>5</v>
      </c>
      <c r="AR73" s="30">
        <f t="shared" si="26"/>
        <v>11067.773012207192</v>
      </c>
    </row>
    <row r="74" spans="1:45" x14ac:dyDescent="0.2">
      <c r="A74" s="35">
        <v>4183.1408775981499</v>
      </c>
      <c r="C74" s="53"/>
      <c r="D74" s="58" t="s">
        <v>30</v>
      </c>
      <c r="E74" s="71">
        <f t="shared" si="23"/>
        <v>3764.8267898383351</v>
      </c>
      <c r="F74" s="54"/>
      <c r="G74" s="63">
        <v>1</v>
      </c>
      <c r="H74" s="41">
        <v>0.75</v>
      </c>
      <c r="I74" s="41">
        <v>0.75</v>
      </c>
      <c r="J74" s="41">
        <v>0.5</v>
      </c>
      <c r="K74" s="41">
        <v>0.5</v>
      </c>
      <c r="L74" s="41">
        <v>0.5</v>
      </c>
      <c r="M74" s="41">
        <v>0.25</v>
      </c>
      <c r="N74" s="41">
        <v>0.25</v>
      </c>
      <c r="O74" s="41">
        <v>0.25</v>
      </c>
      <c r="P74" s="41">
        <v>0.25</v>
      </c>
      <c r="Q74" s="41">
        <v>0.25</v>
      </c>
      <c r="R74" s="76">
        <v>0.5</v>
      </c>
      <c r="S74" s="63">
        <v>0.1</v>
      </c>
      <c r="T74" s="41">
        <v>0.1</v>
      </c>
      <c r="U74" s="41">
        <v>0.1</v>
      </c>
      <c r="V74" s="41">
        <v>0.1</v>
      </c>
      <c r="W74" s="41">
        <v>0.1</v>
      </c>
      <c r="X74" s="41">
        <v>0.1</v>
      </c>
      <c r="Y74" s="41">
        <v>0.1</v>
      </c>
      <c r="Z74" s="41">
        <v>0.1</v>
      </c>
      <c r="AA74" s="41">
        <v>0.1</v>
      </c>
      <c r="AB74" s="41">
        <v>0.1</v>
      </c>
      <c r="AC74" s="41">
        <v>0.1</v>
      </c>
      <c r="AD74" s="76">
        <v>0.1</v>
      </c>
      <c r="AE74" s="150"/>
      <c r="AF74" s="41">
        <v>0.1</v>
      </c>
      <c r="AG74" s="41">
        <v>0.1</v>
      </c>
      <c r="AH74" s="41">
        <v>0.1</v>
      </c>
      <c r="AI74" s="41">
        <v>0.1</v>
      </c>
      <c r="AJ74" s="41">
        <v>0.1</v>
      </c>
      <c r="AK74" s="41">
        <v>0.1</v>
      </c>
      <c r="AL74" s="41">
        <v>0.1</v>
      </c>
      <c r="AM74" s="41">
        <v>0.1</v>
      </c>
      <c r="AN74" s="41">
        <v>0.1</v>
      </c>
      <c r="AO74" s="52"/>
      <c r="AP74" s="30">
        <f t="shared" si="24"/>
        <v>132673.43728060037</v>
      </c>
      <c r="AQ74" s="57">
        <f t="shared" si="25"/>
        <v>33</v>
      </c>
      <c r="AR74" s="30">
        <f t="shared" si="26"/>
        <v>4020.4071903212234</v>
      </c>
    </row>
    <row r="75" spans="1:45" x14ac:dyDescent="0.2">
      <c r="A75" s="35">
        <v>4800</v>
      </c>
      <c r="C75" s="53"/>
      <c r="D75" s="58" t="s">
        <v>31</v>
      </c>
      <c r="E75" s="71">
        <f t="shared" si="23"/>
        <v>4320</v>
      </c>
      <c r="F75" s="54"/>
      <c r="G75" s="63">
        <v>1</v>
      </c>
      <c r="H75" s="41">
        <v>1</v>
      </c>
      <c r="I75" s="41">
        <v>1</v>
      </c>
      <c r="J75" s="41">
        <v>1</v>
      </c>
      <c r="K75" s="41">
        <v>0.5</v>
      </c>
      <c r="L75" s="41">
        <v>0.5</v>
      </c>
      <c r="M75" s="41">
        <v>0.25</v>
      </c>
      <c r="N75" s="41">
        <v>0.25</v>
      </c>
      <c r="O75" s="41">
        <v>0.25</v>
      </c>
      <c r="P75" s="41">
        <v>0.25</v>
      </c>
      <c r="Q75" s="41">
        <v>0.25</v>
      </c>
      <c r="R75" s="76">
        <v>0.5</v>
      </c>
      <c r="S75" s="63">
        <v>0.1</v>
      </c>
      <c r="T75" s="41">
        <v>0.1</v>
      </c>
      <c r="U75" s="41">
        <v>0.1</v>
      </c>
      <c r="V75" s="41">
        <v>0.1</v>
      </c>
      <c r="W75" s="41">
        <v>0.1</v>
      </c>
      <c r="X75" s="41">
        <v>0.1</v>
      </c>
      <c r="Y75" s="41">
        <v>0.1</v>
      </c>
      <c r="Z75" s="41">
        <v>0.1</v>
      </c>
      <c r="AA75" s="41">
        <v>0.1</v>
      </c>
      <c r="AB75" s="41">
        <v>0.1</v>
      </c>
      <c r="AC75" s="41">
        <v>0.1</v>
      </c>
      <c r="AD75" s="76">
        <v>0.1</v>
      </c>
      <c r="AE75" s="150"/>
      <c r="AF75" s="41">
        <v>0.1</v>
      </c>
      <c r="AG75" s="41">
        <v>0.1</v>
      </c>
      <c r="AH75" s="41">
        <v>0.1</v>
      </c>
      <c r="AI75" s="41">
        <v>0.1</v>
      </c>
      <c r="AJ75" s="41">
        <v>0.1</v>
      </c>
      <c r="AK75" s="41">
        <v>0.1</v>
      </c>
      <c r="AL75" s="41">
        <v>0.1</v>
      </c>
      <c r="AM75" s="41">
        <v>0.1</v>
      </c>
      <c r="AN75" s="41">
        <v>0.1</v>
      </c>
      <c r="AO75" s="52"/>
      <c r="AP75" s="30">
        <f t="shared" si="24"/>
        <v>170597.87999999998</v>
      </c>
      <c r="AQ75" s="57">
        <f t="shared" si="25"/>
        <v>33</v>
      </c>
      <c r="AR75" s="30">
        <f t="shared" si="26"/>
        <v>5169.6327272727267</v>
      </c>
    </row>
    <row r="76" spans="1:45" x14ac:dyDescent="0.2">
      <c r="A76" s="35">
        <v>5800</v>
      </c>
      <c r="C76" s="53"/>
      <c r="D76" s="136" t="s">
        <v>43</v>
      </c>
      <c r="E76" s="71">
        <f t="shared" si="23"/>
        <v>5220</v>
      </c>
      <c r="F76" s="54"/>
      <c r="G76" s="63"/>
      <c r="H76" s="41"/>
      <c r="I76" s="41"/>
      <c r="J76" s="41"/>
      <c r="K76" s="41"/>
      <c r="L76" s="41"/>
      <c r="M76" s="41"/>
      <c r="N76" s="41"/>
      <c r="O76" s="41"/>
      <c r="P76" s="41"/>
      <c r="Q76" s="41"/>
      <c r="R76" s="76"/>
      <c r="S76" s="63"/>
      <c r="T76" s="41"/>
      <c r="U76" s="41"/>
      <c r="V76" s="41">
        <v>0.15</v>
      </c>
      <c r="W76" s="41">
        <v>0.15</v>
      </c>
      <c r="X76" s="41">
        <v>0.15</v>
      </c>
      <c r="Y76" s="41">
        <v>0.15</v>
      </c>
      <c r="Z76" s="41"/>
      <c r="AA76" s="41"/>
      <c r="AB76" s="41"/>
      <c r="AC76" s="41"/>
      <c r="AD76" s="76"/>
      <c r="AE76" s="150"/>
      <c r="AF76" s="41"/>
      <c r="AG76" s="41"/>
      <c r="AH76" s="41"/>
      <c r="AI76" s="41"/>
      <c r="AJ76" s="41"/>
      <c r="AK76" s="41"/>
      <c r="AL76" s="41"/>
      <c r="AM76" s="41"/>
      <c r="AN76" s="41"/>
      <c r="AO76" s="52"/>
      <c r="AP76" s="30">
        <f t="shared" si="24"/>
        <v>14510.947499999998</v>
      </c>
      <c r="AQ76" s="57">
        <f t="shared" si="25"/>
        <v>4</v>
      </c>
      <c r="AR76" s="30">
        <f t="shared" si="26"/>
        <v>3627.7368749999996</v>
      </c>
    </row>
    <row r="77" spans="1:45" ht="16" thickBot="1" x14ac:dyDescent="0.25">
      <c r="A77" s="35"/>
      <c r="C77" s="53"/>
      <c r="D77" s="58"/>
      <c r="E77" s="71"/>
      <c r="F77" s="54"/>
      <c r="G77" s="63"/>
      <c r="H77" s="41"/>
      <c r="I77" s="41"/>
      <c r="J77" s="41"/>
      <c r="K77" s="41"/>
      <c r="L77" s="41"/>
      <c r="M77" s="41"/>
      <c r="N77" s="41"/>
      <c r="O77" s="41"/>
      <c r="P77" s="41"/>
      <c r="Q77" s="41"/>
      <c r="R77" s="76"/>
      <c r="S77" s="63"/>
      <c r="T77" s="41"/>
      <c r="U77" s="41"/>
      <c r="V77" s="41"/>
      <c r="W77" s="41"/>
      <c r="X77" s="41"/>
      <c r="Y77" s="41"/>
      <c r="Z77" s="41"/>
      <c r="AA77" s="41"/>
      <c r="AB77" s="41"/>
      <c r="AC77" s="41"/>
      <c r="AD77" s="76"/>
      <c r="AE77" s="150"/>
      <c r="AF77" s="41"/>
      <c r="AG77" s="41"/>
      <c r="AH77" s="41"/>
      <c r="AI77" s="41"/>
      <c r="AJ77" s="41"/>
      <c r="AK77" s="41"/>
      <c r="AL77" s="41"/>
      <c r="AM77" s="41"/>
      <c r="AN77" s="41"/>
      <c r="AO77" s="52"/>
      <c r="AP77" s="30"/>
      <c r="AQ77" s="57"/>
      <c r="AR77" s="56"/>
    </row>
    <row r="78" spans="1:45" s="23" customFormat="1" ht="16" thickBot="1" x14ac:dyDescent="0.25">
      <c r="A78"/>
      <c r="C78" s="327" t="s">
        <v>36</v>
      </c>
      <c r="D78" s="328"/>
      <c r="E78" s="329"/>
      <c r="F78" s="20"/>
      <c r="G78" s="98">
        <f t="shared" ref="G78:AN78" si="27">SUMPRODUCT(($E$66:$E$77),(G66:G77))*(G63)*(G64)</f>
        <v>115327.97756516001</v>
      </c>
      <c r="H78" s="98">
        <f t="shared" si="27"/>
        <v>100402.37875288683</v>
      </c>
      <c r="I78" s="98">
        <f t="shared" si="27"/>
        <v>71397.904157043871</v>
      </c>
      <c r="J78" s="98">
        <f t="shared" si="27"/>
        <v>45301.474760805002</v>
      </c>
      <c r="K78" s="98">
        <f t="shared" si="27"/>
        <v>32249.215110524579</v>
      </c>
      <c r="L78" s="98">
        <f t="shared" si="27"/>
        <v>27178.426261959747</v>
      </c>
      <c r="M78" s="98">
        <f t="shared" si="27"/>
        <v>32982.999838337179</v>
      </c>
      <c r="N78" s="98">
        <f t="shared" si="27"/>
        <v>32982.999838337179</v>
      </c>
      <c r="O78" s="98">
        <f t="shared" si="27"/>
        <v>36664.495669745949</v>
      </c>
      <c r="P78" s="98">
        <f t="shared" si="27"/>
        <v>27621.410767898386</v>
      </c>
      <c r="Q78" s="98">
        <f t="shared" si="27"/>
        <v>20123.05635103926</v>
      </c>
      <c r="R78" s="99">
        <f t="shared" si="27"/>
        <v>34250.774549653579</v>
      </c>
      <c r="S78" s="11">
        <f t="shared" si="27"/>
        <v>15154.658210161662</v>
      </c>
      <c r="T78" s="9">
        <f t="shared" si="27"/>
        <v>14176.938325635105</v>
      </c>
      <c r="U78" s="9">
        <f t="shared" si="27"/>
        <v>15154.658210161662</v>
      </c>
      <c r="V78" s="9">
        <f t="shared" si="27"/>
        <v>16187.073672055425</v>
      </c>
      <c r="W78" s="9">
        <f t="shared" si="27"/>
        <v>19432.201801385683</v>
      </c>
      <c r="X78" s="9">
        <f t="shared" si="27"/>
        <v>18805.35658198614</v>
      </c>
      <c r="Y78" s="9">
        <f t="shared" si="27"/>
        <v>20403.811891454967</v>
      </c>
      <c r="Z78" s="9">
        <f t="shared" si="27"/>
        <v>16580.814391454966</v>
      </c>
      <c r="AA78" s="9">
        <f t="shared" si="27"/>
        <v>16045.94941108545</v>
      </c>
      <c r="AB78" s="9">
        <f t="shared" si="27"/>
        <v>16580.814391454966</v>
      </c>
      <c r="AC78" s="9">
        <f t="shared" si="27"/>
        <v>16045.94941108545</v>
      </c>
      <c r="AD78" s="10">
        <f t="shared" si="27"/>
        <v>16580.814391454966</v>
      </c>
      <c r="AE78" s="138">
        <f t="shared" si="27"/>
        <v>0</v>
      </c>
      <c r="AF78" s="9">
        <f t="shared" si="27"/>
        <v>16580.814391454966</v>
      </c>
      <c r="AG78" s="9">
        <f t="shared" si="27"/>
        <v>14976.21945034642</v>
      </c>
      <c r="AH78" s="9">
        <f t="shared" si="27"/>
        <v>16580.814391454966</v>
      </c>
      <c r="AI78" s="9">
        <f t="shared" si="27"/>
        <v>16045.94941108545</v>
      </c>
      <c r="AJ78" s="9">
        <f t="shared" si="27"/>
        <v>16580.814391454966</v>
      </c>
      <c r="AK78" s="9">
        <f t="shared" si="27"/>
        <v>16045.94941108545</v>
      </c>
      <c r="AL78" s="9">
        <f t="shared" si="27"/>
        <v>24200.961459006932</v>
      </c>
      <c r="AM78" s="9">
        <f t="shared" si="27"/>
        <v>26590.616514145499</v>
      </c>
      <c r="AN78" s="9">
        <f t="shared" si="27"/>
        <v>18795.146466512702</v>
      </c>
      <c r="AO78" s="14"/>
      <c r="AP78" s="19">
        <f>SUM(G78:AN78)</f>
        <v>944029.44019931508</v>
      </c>
      <c r="AQ78" s="106">
        <f>COUNT(G78:AN78)</f>
        <v>34</v>
      </c>
      <c r="AR78" s="18">
        <f>AP78/AQ78</f>
        <v>27765.571770568091</v>
      </c>
      <c r="AS78" s="49"/>
    </row>
    <row r="79" spans="1:45" customFormat="1" ht="6" customHeight="1" thickBot="1" x14ac:dyDescent="0.25"/>
    <row r="80" spans="1:45" s="23" customFormat="1" x14ac:dyDescent="0.2">
      <c r="A80"/>
      <c r="C80" s="86" t="s">
        <v>33</v>
      </c>
      <c r="D80" s="87"/>
      <c r="E80" s="341" t="s">
        <v>61</v>
      </c>
      <c r="F80" s="342"/>
      <c r="G80" s="90"/>
      <c r="H80" s="91"/>
      <c r="I80" s="91"/>
      <c r="J80" s="91"/>
      <c r="K80" s="91"/>
      <c r="L80" s="91"/>
      <c r="M80" s="91"/>
      <c r="N80" s="91"/>
      <c r="O80" s="91"/>
      <c r="P80" s="91"/>
      <c r="Q80" s="91"/>
      <c r="R80" s="92"/>
      <c r="S80" s="90"/>
      <c r="T80" s="91"/>
      <c r="U80" s="91"/>
      <c r="V80" s="91"/>
      <c r="W80" s="91"/>
      <c r="X80" s="91"/>
      <c r="Y80" s="91"/>
      <c r="Z80" s="91"/>
      <c r="AA80" s="91"/>
      <c r="AB80" s="91"/>
      <c r="AC80" s="91"/>
      <c r="AD80" s="93"/>
      <c r="AE80" s="145"/>
      <c r="AF80" s="142"/>
      <c r="AG80" s="139"/>
      <c r="AH80" s="139"/>
      <c r="AI80" s="139"/>
      <c r="AJ80" s="139"/>
      <c r="AK80" s="139"/>
      <c r="AL80" s="139"/>
      <c r="AM80" s="139"/>
      <c r="AN80" s="140"/>
      <c r="AO80" s="94"/>
      <c r="AP80" s="95"/>
      <c r="AQ80" s="95"/>
      <c r="AR80" s="95"/>
    </row>
    <row r="81" spans="1:45" s="23" customFormat="1" x14ac:dyDescent="0.2">
      <c r="A81" s="35">
        <f>$F$2*0.00001</f>
        <v>1250</v>
      </c>
      <c r="C81" s="53"/>
      <c r="D81" s="58" t="s">
        <v>20</v>
      </c>
      <c r="E81" s="337"/>
      <c r="F81" s="338"/>
      <c r="G81" s="77"/>
      <c r="H81" s="78"/>
      <c r="I81" s="78">
        <f>$A$84</f>
        <v>1250</v>
      </c>
      <c r="J81" s="78">
        <f>$A$84</f>
        <v>1250</v>
      </c>
      <c r="K81" s="78">
        <f>$A$84</f>
        <v>1250</v>
      </c>
      <c r="L81" s="78">
        <f>$A$84</f>
        <v>1250</v>
      </c>
      <c r="M81" s="78">
        <f>$A$84*0.8</f>
        <v>1000</v>
      </c>
      <c r="N81" s="78">
        <f>$A$84*0.8</f>
        <v>1000</v>
      </c>
      <c r="O81" s="78">
        <f>$A$84*0.8</f>
        <v>1000</v>
      </c>
      <c r="P81" s="78">
        <f>$A$84*0.6</f>
        <v>750</v>
      </c>
      <c r="Q81" s="78">
        <f>$A$84*0.6</f>
        <v>750</v>
      </c>
      <c r="R81" s="137">
        <f>$A$84</f>
        <v>1250</v>
      </c>
      <c r="S81" s="144">
        <f t="shared" ref="S81:AD81" si="28">$A$84*0.6</f>
        <v>750</v>
      </c>
      <c r="T81" s="78">
        <f t="shared" si="28"/>
        <v>750</v>
      </c>
      <c r="U81" s="78">
        <f t="shared" si="28"/>
        <v>750</v>
      </c>
      <c r="V81" s="78">
        <f t="shared" si="28"/>
        <v>750</v>
      </c>
      <c r="W81" s="78">
        <f t="shared" si="28"/>
        <v>750</v>
      </c>
      <c r="X81" s="78">
        <f t="shared" si="28"/>
        <v>750</v>
      </c>
      <c r="Y81" s="78">
        <f t="shared" si="28"/>
        <v>750</v>
      </c>
      <c r="Z81" s="78">
        <f t="shared" si="28"/>
        <v>750</v>
      </c>
      <c r="AA81" s="78">
        <f t="shared" si="28"/>
        <v>750</v>
      </c>
      <c r="AB81" s="78">
        <f t="shared" si="28"/>
        <v>750</v>
      </c>
      <c r="AC81" s="78">
        <f t="shared" si="28"/>
        <v>750</v>
      </c>
      <c r="AD81" s="168">
        <f t="shared" si="28"/>
        <v>750</v>
      </c>
      <c r="AE81" s="113"/>
      <c r="AF81" s="80">
        <f t="shared" ref="AF81:AN81" si="29">$A$84*0.6</f>
        <v>750</v>
      </c>
      <c r="AG81" s="78">
        <f t="shared" si="29"/>
        <v>750</v>
      </c>
      <c r="AH81" s="78">
        <f t="shared" si="29"/>
        <v>750</v>
      </c>
      <c r="AI81" s="78">
        <f t="shared" si="29"/>
        <v>750</v>
      </c>
      <c r="AJ81" s="78">
        <f t="shared" si="29"/>
        <v>750</v>
      </c>
      <c r="AK81" s="78">
        <f t="shared" si="29"/>
        <v>750</v>
      </c>
      <c r="AL81" s="78">
        <f t="shared" si="29"/>
        <v>750</v>
      </c>
      <c r="AM81" s="78">
        <f t="shared" si="29"/>
        <v>750</v>
      </c>
      <c r="AN81" s="78">
        <f t="shared" si="29"/>
        <v>750</v>
      </c>
      <c r="AO81" s="52"/>
      <c r="AP81" s="141">
        <f>SUM(G81:AO81)</f>
        <v>26500</v>
      </c>
      <c r="AQ81" s="57">
        <f>COUNT(G81:AN81)</f>
        <v>31</v>
      </c>
      <c r="AR81" s="30">
        <f>AP81/AQ81</f>
        <v>854.83870967741939</v>
      </c>
    </row>
    <row r="82" spans="1:45" s="23" customFormat="1" x14ac:dyDescent="0.2">
      <c r="A82" s="35">
        <f>$F$2*0.00001</f>
        <v>1250</v>
      </c>
      <c r="C82" s="53"/>
      <c r="D82" s="58" t="s">
        <v>21</v>
      </c>
      <c r="E82" s="339"/>
      <c r="F82" s="340"/>
      <c r="G82" s="77"/>
      <c r="H82" s="78">
        <f>$A$81*2</f>
        <v>2500</v>
      </c>
      <c r="I82" s="78">
        <f t="shared" ref="I82:J82" si="30">$A$81*2</f>
        <v>2500</v>
      </c>
      <c r="J82" s="78">
        <f t="shared" si="30"/>
        <v>2500</v>
      </c>
      <c r="K82" s="78">
        <f>$A$81*4</f>
        <v>5000</v>
      </c>
      <c r="L82" s="78">
        <f>$A$81*6</f>
        <v>7500</v>
      </c>
      <c r="M82" s="78">
        <f t="shared" ref="M82:O82" si="31">$A$81*6</f>
        <v>7500</v>
      </c>
      <c r="N82" s="78">
        <f t="shared" si="31"/>
        <v>7500</v>
      </c>
      <c r="O82" s="78">
        <f t="shared" si="31"/>
        <v>7500</v>
      </c>
      <c r="P82" s="78">
        <f t="shared" ref="P82:Q82" si="32">$A$81*4</f>
        <v>5000</v>
      </c>
      <c r="Q82" s="78">
        <f t="shared" si="32"/>
        <v>5000</v>
      </c>
      <c r="R82" s="78">
        <f t="shared" ref="R82" si="33">$A$81*6</f>
        <v>7500</v>
      </c>
      <c r="S82" s="144">
        <f>$A$82*0.4</f>
        <v>500</v>
      </c>
      <c r="T82" s="78">
        <f t="shared" ref="T82:W82" si="34">$A$82*0.4</f>
        <v>500</v>
      </c>
      <c r="U82" s="78">
        <f t="shared" si="34"/>
        <v>500</v>
      </c>
      <c r="V82" s="78">
        <f t="shared" si="34"/>
        <v>500</v>
      </c>
      <c r="W82" s="78">
        <f t="shared" si="34"/>
        <v>500</v>
      </c>
      <c r="X82" s="78">
        <f>$A$82*2</f>
        <v>2500</v>
      </c>
      <c r="Y82" s="78">
        <f>$A$82*4</f>
        <v>5000</v>
      </c>
      <c r="Z82" s="78">
        <f t="shared" ref="Z82:AC82" si="35">$A$82*4</f>
        <v>5000</v>
      </c>
      <c r="AA82" s="78">
        <f t="shared" si="35"/>
        <v>5000</v>
      </c>
      <c r="AB82" s="78">
        <f t="shared" si="35"/>
        <v>5000</v>
      </c>
      <c r="AC82" s="78">
        <f t="shared" si="35"/>
        <v>5000</v>
      </c>
      <c r="AD82" s="79">
        <f>$A$82*2</f>
        <v>2500</v>
      </c>
      <c r="AE82" s="113"/>
      <c r="AF82" s="80">
        <f t="shared" ref="AF82:AI82" si="36">$A$82*2</f>
        <v>2500</v>
      </c>
      <c r="AG82" s="78">
        <f t="shared" si="36"/>
        <v>2500</v>
      </c>
      <c r="AH82" s="78">
        <f t="shared" si="36"/>
        <v>2500</v>
      </c>
      <c r="AI82" s="78">
        <f t="shared" si="36"/>
        <v>2500</v>
      </c>
      <c r="AJ82" s="78">
        <f>$A$82*0.4</f>
        <v>500</v>
      </c>
      <c r="AK82" s="78">
        <f t="shared" ref="AK82:AN82" si="37">$A$82*0.4</f>
        <v>500</v>
      </c>
      <c r="AL82" s="78">
        <f t="shared" si="37"/>
        <v>500</v>
      </c>
      <c r="AM82" s="78">
        <f t="shared" si="37"/>
        <v>500</v>
      </c>
      <c r="AN82" s="78">
        <f t="shared" si="37"/>
        <v>500</v>
      </c>
      <c r="AO82" s="52"/>
      <c r="AP82" s="141">
        <f t="shared" ref="AP82:AP88" si="38">SUM(G82:AO82)</f>
        <v>105000</v>
      </c>
      <c r="AQ82" s="57">
        <f t="shared" ref="AQ82:AQ86" si="39">COUNT(G82:AN82)</f>
        <v>32</v>
      </c>
      <c r="AR82" s="30">
        <f t="shared" ref="AR82:AR88" si="40">AP82/AQ82</f>
        <v>3281.25</v>
      </c>
    </row>
    <row r="83" spans="1:45" s="23" customFormat="1" x14ac:dyDescent="0.2">
      <c r="A83" s="169">
        <f>(F48*0.025*0.025)/12</f>
        <v>6510.416666666667</v>
      </c>
      <c r="C83" s="53"/>
      <c r="D83" s="58" t="s">
        <v>58</v>
      </c>
      <c r="E83" s="339" t="s">
        <v>84</v>
      </c>
      <c r="F83" s="340"/>
      <c r="G83" s="77"/>
      <c r="H83" s="78"/>
      <c r="I83" s="78"/>
      <c r="J83" s="78"/>
      <c r="K83" s="78"/>
      <c r="L83" s="78"/>
      <c r="M83" s="78"/>
      <c r="N83" s="78"/>
      <c r="O83" s="78"/>
      <c r="P83" s="78"/>
      <c r="Q83" s="78"/>
      <c r="R83" s="79"/>
      <c r="S83" s="80">
        <f>$A$83</f>
        <v>6510.416666666667</v>
      </c>
      <c r="T83" s="78">
        <f t="shared" ref="T83:AN83" si="41">$A$83</f>
        <v>6510.416666666667</v>
      </c>
      <c r="U83" s="78">
        <f t="shared" si="41"/>
        <v>6510.416666666667</v>
      </c>
      <c r="V83" s="78">
        <f t="shared" si="41"/>
        <v>6510.416666666667</v>
      </c>
      <c r="W83" s="78">
        <f t="shared" si="41"/>
        <v>6510.416666666667</v>
      </c>
      <c r="X83" s="78">
        <f t="shared" si="41"/>
        <v>6510.416666666667</v>
      </c>
      <c r="Y83" s="78">
        <f t="shared" si="41"/>
        <v>6510.416666666667</v>
      </c>
      <c r="Z83" s="78">
        <f t="shared" si="41"/>
        <v>6510.416666666667</v>
      </c>
      <c r="AA83" s="78">
        <f t="shared" si="41"/>
        <v>6510.416666666667</v>
      </c>
      <c r="AB83" s="78">
        <f t="shared" si="41"/>
        <v>6510.416666666667</v>
      </c>
      <c r="AC83" s="78">
        <f t="shared" si="41"/>
        <v>6510.416666666667</v>
      </c>
      <c r="AD83" s="79">
        <f t="shared" si="41"/>
        <v>6510.416666666667</v>
      </c>
      <c r="AE83" s="113"/>
      <c r="AF83" s="80">
        <f t="shared" si="41"/>
        <v>6510.416666666667</v>
      </c>
      <c r="AG83" s="78">
        <f t="shared" si="41"/>
        <v>6510.416666666667</v>
      </c>
      <c r="AH83" s="78">
        <f t="shared" si="41"/>
        <v>6510.416666666667</v>
      </c>
      <c r="AI83" s="78">
        <f t="shared" si="41"/>
        <v>6510.416666666667</v>
      </c>
      <c r="AJ83" s="78">
        <f t="shared" si="41"/>
        <v>6510.416666666667</v>
      </c>
      <c r="AK83" s="78">
        <f t="shared" si="41"/>
        <v>6510.416666666667</v>
      </c>
      <c r="AL83" s="78">
        <f t="shared" si="41"/>
        <v>6510.416666666667</v>
      </c>
      <c r="AM83" s="78">
        <f t="shared" si="41"/>
        <v>6510.416666666667</v>
      </c>
      <c r="AN83" s="78">
        <f t="shared" si="41"/>
        <v>6510.416666666667</v>
      </c>
      <c r="AO83" s="52"/>
      <c r="AP83" s="141">
        <f t="shared" si="38"/>
        <v>136718.75000000003</v>
      </c>
      <c r="AQ83" s="57">
        <f>COUNT(G83:AN83)</f>
        <v>21</v>
      </c>
      <c r="AR83" s="30">
        <f t="shared" si="40"/>
        <v>6510.4166666666679</v>
      </c>
    </row>
    <row r="84" spans="1:45" s="23" customFormat="1" x14ac:dyDescent="0.2">
      <c r="A84" s="35">
        <f>$F$2*0.00001</f>
        <v>1250</v>
      </c>
      <c r="C84" s="53"/>
      <c r="D84" s="58" t="s">
        <v>22</v>
      </c>
      <c r="E84" s="339"/>
      <c r="F84" s="340"/>
      <c r="G84" s="77">
        <v>1000</v>
      </c>
      <c r="H84" s="78">
        <v>1000</v>
      </c>
      <c r="I84" s="78">
        <v>1000</v>
      </c>
      <c r="J84" s="78">
        <v>500</v>
      </c>
      <c r="K84" s="78">
        <v>500</v>
      </c>
      <c r="L84" s="78"/>
      <c r="M84" s="78"/>
      <c r="N84" s="78"/>
      <c r="O84" s="78"/>
      <c r="P84" s="78"/>
      <c r="Q84" s="78"/>
      <c r="R84" s="79"/>
      <c r="S84" s="80"/>
      <c r="T84" s="78"/>
      <c r="U84" s="78"/>
      <c r="V84" s="78"/>
      <c r="W84" s="78"/>
      <c r="X84" s="78"/>
      <c r="Y84" s="78"/>
      <c r="Z84" s="78"/>
      <c r="AA84" s="78"/>
      <c r="AB84" s="78"/>
      <c r="AC84" s="78"/>
      <c r="AD84" s="79"/>
      <c r="AE84" s="113"/>
      <c r="AF84" s="80"/>
      <c r="AG84" s="78"/>
      <c r="AH84" s="78"/>
      <c r="AI84" s="78"/>
      <c r="AJ84" s="78"/>
      <c r="AK84" s="78"/>
      <c r="AL84" s="78"/>
      <c r="AM84" s="78"/>
      <c r="AN84" s="78"/>
      <c r="AO84" s="52"/>
      <c r="AP84" s="141">
        <f t="shared" si="38"/>
        <v>4000</v>
      </c>
      <c r="AQ84" s="57">
        <f t="shared" si="39"/>
        <v>5</v>
      </c>
      <c r="AR84" s="30">
        <f t="shared" si="40"/>
        <v>800</v>
      </c>
    </row>
    <row r="85" spans="1:45" s="23" customFormat="1" x14ac:dyDescent="0.2">
      <c r="A85" s="35">
        <f>$F$2*0.00001</f>
        <v>1250</v>
      </c>
      <c r="C85" s="53"/>
      <c r="D85" s="58" t="s">
        <v>19</v>
      </c>
      <c r="E85" s="339"/>
      <c r="F85" s="340"/>
      <c r="G85" s="77"/>
      <c r="H85" s="78"/>
      <c r="I85" s="78">
        <f>$A$85</f>
        <v>1250</v>
      </c>
      <c r="J85" s="78">
        <f>$A$85</f>
        <v>1250</v>
      </c>
      <c r="K85" s="78"/>
      <c r="L85" s="78"/>
      <c r="M85" s="78"/>
      <c r="N85" s="78"/>
      <c r="O85" s="78"/>
      <c r="P85" s="78"/>
      <c r="Q85" s="78"/>
      <c r="R85" s="79"/>
      <c r="S85" s="80"/>
      <c r="T85" s="78"/>
      <c r="U85" s="78"/>
      <c r="V85" s="78"/>
      <c r="W85" s="78"/>
      <c r="X85" s="78">
        <f>$A$85*2</f>
        <v>2500</v>
      </c>
      <c r="Y85" s="78">
        <f t="shared" ref="Y85:AA85" si="42">$A$85*2</f>
        <v>2500</v>
      </c>
      <c r="Z85" s="78">
        <f t="shared" si="42"/>
        <v>2500</v>
      </c>
      <c r="AA85" s="78">
        <f t="shared" si="42"/>
        <v>2500</v>
      </c>
      <c r="AB85" s="78"/>
      <c r="AC85" s="78"/>
      <c r="AD85" s="79"/>
      <c r="AE85" s="113"/>
      <c r="AF85" s="80"/>
      <c r="AG85" s="78"/>
      <c r="AH85" s="78"/>
      <c r="AI85" s="78"/>
      <c r="AJ85" s="78"/>
      <c r="AK85" s="78"/>
      <c r="AL85" s="78"/>
      <c r="AM85" s="78"/>
      <c r="AN85" s="78"/>
      <c r="AO85" s="52"/>
      <c r="AP85" s="141">
        <f t="shared" si="38"/>
        <v>12500</v>
      </c>
      <c r="AQ85" s="57">
        <f t="shared" si="39"/>
        <v>6</v>
      </c>
      <c r="AR85" s="30">
        <f t="shared" si="40"/>
        <v>2083.3333333333335</v>
      </c>
    </row>
    <row r="86" spans="1:45" s="23" customFormat="1" x14ac:dyDescent="0.2">
      <c r="A86" s="35">
        <f>$F$2*0.00001</f>
        <v>1250</v>
      </c>
      <c r="C86" s="53"/>
      <c r="D86" s="58" t="s">
        <v>23</v>
      </c>
      <c r="E86" s="339"/>
      <c r="F86" s="340"/>
      <c r="G86" s="77"/>
      <c r="H86" s="78"/>
      <c r="I86" s="78"/>
      <c r="J86" s="78"/>
      <c r="K86" s="78"/>
      <c r="L86" s="78"/>
      <c r="M86" s="78"/>
      <c r="N86" s="78"/>
      <c r="O86" s="78"/>
      <c r="P86" s="78"/>
      <c r="Q86" s="78"/>
      <c r="R86" s="79"/>
      <c r="S86" s="80"/>
      <c r="T86" s="78"/>
      <c r="U86" s="78"/>
      <c r="V86" s="78"/>
      <c r="W86" s="78">
        <f>$A$86*4</f>
        <v>5000</v>
      </c>
      <c r="X86" s="78">
        <f>$A$86*4</f>
        <v>5000</v>
      </c>
      <c r="Y86" s="78">
        <f>$A$86*4</f>
        <v>5000</v>
      </c>
      <c r="Z86" s="78">
        <f>$A$86*4</f>
        <v>5000</v>
      </c>
      <c r="AA86" s="78">
        <f>$A$86*4</f>
        <v>5000</v>
      </c>
      <c r="AB86" s="78">
        <f>$A$86*2</f>
        <v>2500</v>
      </c>
      <c r="AC86" s="78">
        <f t="shared" ref="AC86:AJ86" si="43">$A$86*2</f>
        <v>2500</v>
      </c>
      <c r="AD86" s="79">
        <f t="shared" si="43"/>
        <v>2500</v>
      </c>
      <c r="AE86" s="113"/>
      <c r="AF86" s="80">
        <f t="shared" si="43"/>
        <v>2500</v>
      </c>
      <c r="AG86" s="78">
        <f t="shared" si="43"/>
        <v>2500</v>
      </c>
      <c r="AH86" s="78">
        <f t="shared" si="43"/>
        <v>2500</v>
      </c>
      <c r="AI86" s="78">
        <f t="shared" si="43"/>
        <v>2500</v>
      </c>
      <c r="AJ86" s="78">
        <f t="shared" si="43"/>
        <v>2500</v>
      </c>
      <c r="AK86" s="78">
        <f t="shared" ref="AK86:AM86" si="44">$A$86*4</f>
        <v>5000</v>
      </c>
      <c r="AL86" s="78">
        <f t="shared" si="44"/>
        <v>5000</v>
      </c>
      <c r="AM86" s="78">
        <f t="shared" si="44"/>
        <v>5000</v>
      </c>
      <c r="AN86" s="78"/>
      <c r="AO86" s="52"/>
      <c r="AP86" s="141">
        <f t="shared" si="38"/>
        <v>60000</v>
      </c>
      <c r="AQ86" s="57">
        <f t="shared" si="39"/>
        <v>16</v>
      </c>
      <c r="AR86" s="30">
        <f t="shared" si="40"/>
        <v>3750</v>
      </c>
    </row>
    <row r="87" spans="1:45" s="23" customFormat="1" x14ac:dyDescent="0.2">
      <c r="A87" s="35">
        <f>$F$2*0.00001</f>
        <v>1250</v>
      </c>
      <c r="C87" s="53"/>
      <c r="D87" s="58" t="s">
        <v>25</v>
      </c>
      <c r="E87" s="339"/>
      <c r="F87" s="340"/>
      <c r="G87" s="77"/>
      <c r="H87" s="78"/>
      <c r="I87" s="78"/>
      <c r="J87" s="78"/>
      <c r="K87" s="78"/>
      <c r="L87" s="78"/>
      <c r="M87" s="78"/>
      <c r="N87" s="78"/>
      <c r="O87" s="78"/>
      <c r="P87" s="81"/>
      <c r="Q87" s="81"/>
      <c r="R87" s="82"/>
      <c r="S87" s="83"/>
      <c r="T87" s="81"/>
      <c r="U87" s="81"/>
      <c r="V87" s="81"/>
      <c r="W87" s="81"/>
      <c r="X87" s="78">
        <f>$A$87*4</f>
        <v>5000</v>
      </c>
      <c r="Y87" s="78">
        <f t="shared" ref="Y87:AB87" si="45">$A$87*4</f>
        <v>5000</v>
      </c>
      <c r="Z87" s="78">
        <f t="shared" si="45"/>
        <v>5000</v>
      </c>
      <c r="AA87" s="78">
        <f t="shared" si="45"/>
        <v>5000</v>
      </c>
      <c r="AB87" s="78">
        <f t="shared" si="45"/>
        <v>5000</v>
      </c>
      <c r="AC87" s="81"/>
      <c r="AD87" s="84"/>
      <c r="AE87" s="115"/>
      <c r="AF87" s="80"/>
      <c r="AG87" s="78"/>
      <c r="AH87" s="78"/>
      <c r="AI87" s="78"/>
      <c r="AJ87" s="78"/>
      <c r="AK87" s="78"/>
      <c r="AL87" s="78"/>
      <c r="AM87" s="78"/>
      <c r="AN87" s="78"/>
      <c r="AO87" s="52"/>
      <c r="AP87" s="141">
        <f t="shared" si="38"/>
        <v>25000</v>
      </c>
      <c r="AQ87" s="57">
        <f>COUNT(G87:AN87)</f>
        <v>5</v>
      </c>
      <c r="AR87" s="30">
        <f t="shared" si="40"/>
        <v>5000</v>
      </c>
    </row>
    <row r="88" spans="1:45" s="23" customFormat="1" x14ac:dyDescent="0.2">
      <c r="A88" s="35">
        <f>$F$2*0.00001</f>
        <v>1250</v>
      </c>
      <c r="C88" s="53"/>
      <c r="D88" s="58" t="s">
        <v>44</v>
      </c>
      <c r="E88" s="339"/>
      <c r="F88" s="340"/>
      <c r="G88" s="77"/>
      <c r="H88" s="78"/>
      <c r="I88" s="78"/>
      <c r="J88" s="78"/>
      <c r="K88" s="78"/>
      <c r="L88" s="78"/>
      <c r="M88" s="78"/>
      <c r="N88" s="78"/>
      <c r="O88" s="78"/>
      <c r="P88" s="81"/>
      <c r="Q88" s="81"/>
      <c r="R88" s="82"/>
      <c r="S88" s="83"/>
      <c r="T88" s="81"/>
      <c r="U88" s="81"/>
      <c r="V88" s="81"/>
      <c r="W88" s="81"/>
      <c r="X88" s="81"/>
      <c r="Y88" s="81"/>
      <c r="Z88" s="81"/>
      <c r="AA88" s="81"/>
      <c r="AB88" s="81"/>
      <c r="AC88" s="81"/>
      <c r="AD88" s="84"/>
      <c r="AE88" s="115"/>
      <c r="AF88" s="80"/>
      <c r="AG88" s="78"/>
      <c r="AH88" s="78"/>
      <c r="AI88" s="78"/>
      <c r="AJ88" s="78"/>
      <c r="AK88" s="78"/>
      <c r="AL88" s="78"/>
      <c r="AM88" s="78"/>
      <c r="AN88" s="78">
        <f>$A$88*100</f>
        <v>125000</v>
      </c>
      <c r="AO88" s="52"/>
      <c r="AP88" s="141">
        <f t="shared" si="38"/>
        <v>125000</v>
      </c>
      <c r="AQ88" s="57">
        <f>COUNT(G88:AN88)</f>
        <v>1</v>
      </c>
      <c r="AR88" s="30">
        <f t="shared" si="40"/>
        <v>125000</v>
      </c>
    </row>
    <row r="89" spans="1:45" s="23" customFormat="1" x14ac:dyDescent="0.2">
      <c r="A89" s="35"/>
      <c r="C89" s="53"/>
      <c r="D89" s="58" t="s">
        <v>24</v>
      </c>
      <c r="E89" s="339" t="s">
        <v>60</v>
      </c>
      <c r="F89" s="340"/>
      <c r="G89" s="77"/>
      <c r="H89" s="78"/>
      <c r="I89" s="78"/>
      <c r="J89" s="78"/>
      <c r="K89" s="78"/>
      <c r="L89" s="78"/>
      <c r="M89" s="78"/>
      <c r="N89" s="78"/>
      <c r="O89" s="78"/>
      <c r="P89" s="81"/>
      <c r="Q89" s="81"/>
      <c r="R89" s="82"/>
      <c r="S89" s="83"/>
      <c r="T89" s="81"/>
      <c r="U89" s="81"/>
      <c r="V89" s="81"/>
      <c r="W89" s="81"/>
      <c r="X89" s="81"/>
      <c r="Y89" s="81"/>
      <c r="Z89" s="81"/>
      <c r="AA89" s="81"/>
      <c r="AB89" s="81"/>
      <c r="AC89" s="81"/>
      <c r="AD89" s="84"/>
      <c r="AE89" s="115"/>
      <c r="AF89" s="80"/>
      <c r="AG89" s="78"/>
      <c r="AH89" s="78"/>
      <c r="AI89" s="78"/>
      <c r="AJ89" s="78"/>
      <c r="AK89" s="78"/>
      <c r="AL89" s="78"/>
      <c r="AM89" s="78"/>
      <c r="AN89" s="78"/>
      <c r="AO89" s="52"/>
      <c r="AP89" s="141"/>
      <c r="AQ89" s="57"/>
      <c r="AR89" s="30"/>
    </row>
    <row r="90" spans="1:45" s="23" customFormat="1" ht="16" thickBot="1" x14ac:dyDescent="0.25">
      <c r="A90" s="35"/>
      <c r="C90" s="53"/>
      <c r="D90" s="58"/>
      <c r="E90" s="339"/>
      <c r="F90" s="340"/>
      <c r="G90" s="77"/>
      <c r="H90" s="78"/>
      <c r="I90" s="78"/>
      <c r="J90" s="78"/>
      <c r="K90" s="78"/>
      <c r="L90" s="78"/>
      <c r="M90" s="78"/>
      <c r="N90" s="78"/>
      <c r="O90" s="78"/>
      <c r="P90" s="78"/>
      <c r="Q90" s="78"/>
      <c r="R90" s="79"/>
      <c r="S90" s="80"/>
      <c r="T90" s="78"/>
      <c r="U90" s="78"/>
      <c r="V90" s="78"/>
      <c r="W90" s="78"/>
      <c r="X90" s="78"/>
      <c r="Y90" s="78"/>
      <c r="Z90" s="78"/>
      <c r="AA90" s="78"/>
      <c r="AB90" s="78"/>
      <c r="AC90" s="78"/>
      <c r="AD90" s="79"/>
      <c r="AE90" s="113"/>
      <c r="AF90" s="80"/>
      <c r="AG90" s="78"/>
      <c r="AH90" s="78"/>
      <c r="AI90" s="78"/>
      <c r="AJ90" s="78"/>
      <c r="AK90" s="78"/>
      <c r="AL90" s="78"/>
      <c r="AM90" s="78"/>
      <c r="AN90" s="78"/>
      <c r="AO90" s="52"/>
      <c r="AP90" s="141"/>
      <c r="AQ90" s="57"/>
      <c r="AR90" s="56"/>
    </row>
    <row r="91" spans="1:45" s="23" customFormat="1" ht="16" thickBot="1" x14ac:dyDescent="0.25">
      <c r="A91"/>
      <c r="C91" s="327" t="s">
        <v>38</v>
      </c>
      <c r="D91" s="328"/>
      <c r="E91" s="329"/>
      <c r="F91" s="20"/>
      <c r="G91" s="11">
        <f t="shared" ref="G91:AD91" si="46">SUM(G81:G90)</f>
        <v>1000</v>
      </c>
      <c r="H91" s="9">
        <f t="shared" si="46"/>
        <v>3500</v>
      </c>
      <c r="I91" s="9">
        <f t="shared" si="46"/>
        <v>6000</v>
      </c>
      <c r="J91" s="9">
        <f t="shared" si="46"/>
        <v>5500</v>
      </c>
      <c r="K91" s="9">
        <f t="shared" si="46"/>
        <v>6750</v>
      </c>
      <c r="L91" s="9">
        <f t="shared" si="46"/>
        <v>8750</v>
      </c>
      <c r="M91" s="9">
        <f t="shared" si="46"/>
        <v>8500</v>
      </c>
      <c r="N91" s="9">
        <f t="shared" si="46"/>
        <v>8500</v>
      </c>
      <c r="O91" s="9">
        <f t="shared" si="46"/>
        <v>8500</v>
      </c>
      <c r="P91" s="9">
        <f t="shared" si="46"/>
        <v>5750</v>
      </c>
      <c r="Q91" s="9">
        <f t="shared" si="46"/>
        <v>5750</v>
      </c>
      <c r="R91" s="10">
        <f t="shared" si="46"/>
        <v>8750</v>
      </c>
      <c r="S91" s="11">
        <f t="shared" si="46"/>
        <v>7760.416666666667</v>
      </c>
      <c r="T91" s="9">
        <f t="shared" si="46"/>
        <v>7760.416666666667</v>
      </c>
      <c r="U91" s="9">
        <f t="shared" si="46"/>
        <v>7760.416666666667</v>
      </c>
      <c r="V91" s="9">
        <f t="shared" si="46"/>
        <v>7760.416666666667</v>
      </c>
      <c r="W91" s="9">
        <f t="shared" si="46"/>
        <v>12760.416666666668</v>
      </c>
      <c r="X91" s="9">
        <f t="shared" si="46"/>
        <v>22260.416666666668</v>
      </c>
      <c r="Y91" s="9">
        <f t="shared" si="46"/>
        <v>24760.416666666668</v>
      </c>
      <c r="Z91" s="9">
        <f t="shared" si="46"/>
        <v>24760.416666666668</v>
      </c>
      <c r="AA91" s="9">
        <f t="shared" si="46"/>
        <v>24760.416666666668</v>
      </c>
      <c r="AB91" s="9">
        <f t="shared" si="46"/>
        <v>19760.416666666668</v>
      </c>
      <c r="AC91" s="9">
        <f t="shared" si="46"/>
        <v>14760.416666666668</v>
      </c>
      <c r="AD91" s="10">
        <f t="shared" si="46"/>
        <v>12260.416666666668</v>
      </c>
      <c r="AE91" s="143"/>
      <c r="AF91" s="143">
        <f t="shared" ref="AF91:AN91" si="47">SUM(AF81:AF90)</f>
        <v>12260.416666666668</v>
      </c>
      <c r="AG91" s="138">
        <f t="shared" si="47"/>
        <v>12260.416666666668</v>
      </c>
      <c r="AH91" s="138">
        <f t="shared" si="47"/>
        <v>12260.416666666668</v>
      </c>
      <c r="AI91" s="138">
        <f t="shared" si="47"/>
        <v>12260.416666666668</v>
      </c>
      <c r="AJ91" s="138">
        <f t="shared" si="47"/>
        <v>10260.416666666668</v>
      </c>
      <c r="AK91" s="138">
        <f t="shared" si="47"/>
        <v>12760.416666666668</v>
      </c>
      <c r="AL91" s="138">
        <f t="shared" si="47"/>
        <v>12760.416666666668</v>
      </c>
      <c r="AM91" s="138">
        <f t="shared" si="47"/>
        <v>12760.416666666668</v>
      </c>
      <c r="AN91" s="138">
        <f t="shared" si="47"/>
        <v>132760.41666666666</v>
      </c>
      <c r="AO91" s="14"/>
      <c r="AP91" s="19">
        <f>SUM(G91:AN91)</f>
        <v>494718.75000000012</v>
      </c>
      <c r="AQ91" s="106">
        <f>COUNT(G91:AN91)</f>
        <v>33</v>
      </c>
      <c r="AR91" s="18">
        <f t="shared" ref="AR91" si="48">AP91/AQ91</f>
        <v>14991.477272727276</v>
      </c>
      <c r="AS91" s="49"/>
    </row>
    <row r="92" spans="1:45" customFormat="1" ht="6" customHeight="1" thickBot="1" x14ac:dyDescent="0.25"/>
    <row r="93" spans="1:45" s="23" customFormat="1" x14ac:dyDescent="0.2">
      <c r="A93" s="34"/>
      <c r="C93" s="86" t="s">
        <v>34</v>
      </c>
      <c r="D93" s="87"/>
      <c r="E93" s="96" t="s">
        <v>13</v>
      </c>
      <c r="F93" s="97" t="s">
        <v>35</v>
      </c>
      <c r="G93" s="90"/>
      <c r="H93" s="91"/>
      <c r="I93" s="91"/>
      <c r="J93" s="91"/>
      <c r="K93" s="91"/>
      <c r="L93" s="91"/>
      <c r="M93" s="91"/>
      <c r="N93" s="91"/>
      <c r="O93" s="91"/>
      <c r="P93" s="91"/>
      <c r="Q93" s="91"/>
      <c r="R93" s="92"/>
      <c r="S93" s="90"/>
      <c r="T93" s="91"/>
      <c r="U93" s="91"/>
      <c r="V93" s="91"/>
      <c r="W93" s="91"/>
      <c r="X93" s="91"/>
      <c r="Y93" s="91"/>
      <c r="Z93" s="91"/>
      <c r="AA93" s="91"/>
      <c r="AB93" s="91"/>
      <c r="AC93" s="91"/>
      <c r="AD93" s="93"/>
      <c r="AE93" s="145"/>
      <c r="AF93" s="145"/>
      <c r="AG93" s="91"/>
      <c r="AH93" s="91"/>
      <c r="AI93" s="91"/>
      <c r="AJ93" s="91"/>
      <c r="AK93" s="91"/>
      <c r="AL93" s="91"/>
      <c r="AM93" s="91"/>
      <c r="AN93" s="94"/>
      <c r="AO93" s="94"/>
      <c r="AP93" s="95"/>
      <c r="AQ93" s="95"/>
      <c r="AR93" s="95"/>
    </row>
    <row r="94" spans="1:45" s="23" customFormat="1" x14ac:dyDescent="0.2">
      <c r="A94" s="35">
        <f>E94*F94</f>
        <v>1000</v>
      </c>
      <c r="C94" s="39"/>
      <c r="D94" s="58" t="s">
        <v>34</v>
      </c>
      <c r="E94" s="85">
        <v>4</v>
      </c>
      <c r="F94" s="40">
        <f>F47</f>
        <v>250</v>
      </c>
      <c r="G94" s="64"/>
      <c r="H94" s="41"/>
      <c r="I94" s="41"/>
      <c r="J94" s="41"/>
      <c r="K94" s="41"/>
      <c r="L94" s="41"/>
      <c r="M94" s="41"/>
      <c r="N94" s="41"/>
      <c r="O94" s="41"/>
      <c r="P94" s="41"/>
      <c r="Q94" s="41"/>
      <c r="R94" s="41"/>
      <c r="S94" s="67"/>
      <c r="T94" s="65"/>
      <c r="U94" s="65"/>
      <c r="V94" s="65"/>
      <c r="W94" s="65"/>
      <c r="X94" s="65"/>
      <c r="Y94" s="65"/>
      <c r="Z94" s="65"/>
      <c r="AA94" s="65"/>
      <c r="AB94" s="65"/>
      <c r="AC94" s="65"/>
      <c r="AD94" s="66"/>
      <c r="AE94" s="114"/>
      <c r="AF94" s="146"/>
      <c r="AG94" s="78"/>
      <c r="AH94" s="78"/>
      <c r="AI94" s="78"/>
      <c r="AJ94" s="78"/>
      <c r="AK94" s="78"/>
      <c r="AL94" s="78"/>
      <c r="AM94" s="78"/>
      <c r="AN94" s="80"/>
      <c r="AO94" s="52"/>
      <c r="AP94" s="30"/>
      <c r="AQ94" s="57"/>
      <c r="AR94" s="30"/>
    </row>
    <row r="95" spans="1:45" s="23" customFormat="1" ht="16" thickBot="1" x14ac:dyDescent="0.25">
      <c r="A95" s="35"/>
      <c r="C95" s="39"/>
      <c r="D95" s="58"/>
      <c r="E95" s="58"/>
      <c r="F95" s="40"/>
      <c r="G95" s="64"/>
      <c r="H95" s="41"/>
      <c r="I95" s="41"/>
      <c r="J95" s="41"/>
      <c r="K95" s="41"/>
      <c r="L95" s="41"/>
      <c r="M95" s="41"/>
      <c r="N95" s="41"/>
      <c r="O95" s="41"/>
      <c r="P95" s="65"/>
      <c r="Q95" s="65"/>
      <c r="R95" s="66"/>
      <c r="S95" s="67"/>
      <c r="T95" s="65"/>
      <c r="U95" s="65"/>
      <c r="V95" s="65"/>
      <c r="W95" s="65"/>
      <c r="X95" s="65"/>
      <c r="Y95" s="65"/>
      <c r="Z95" s="65"/>
      <c r="AA95" s="55"/>
      <c r="AB95" s="55"/>
      <c r="AC95" s="55"/>
      <c r="AD95" s="51"/>
      <c r="AE95" s="151"/>
      <c r="AF95" s="113"/>
      <c r="AG95" s="78"/>
      <c r="AH95" s="78"/>
      <c r="AI95" s="78"/>
      <c r="AJ95" s="78"/>
      <c r="AK95" s="78"/>
      <c r="AL95" s="78"/>
      <c r="AM95" s="78"/>
      <c r="AN95" s="80"/>
      <c r="AO95" s="52"/>
      <c r="AP95" s="30"/>
      <c r="AQ95" s="31"/>
      <c r="AR95" s="30"/>
    </row>
    <row r="96" spans="1:45" s="23" customFormat="1" ht="16" thickBot="1" x14ac:dyDescent="0.25">
      <c r="A96"/>
      <c r="C96" s="327" t="s">
        <v>39</v>
      </c>
      <c r="D96" s="328"/>
      <c r="E96" s="329"/>
      <c r="F96" s="20"/>
      <c r="G96" s="11">
        <f t="shared" ref="G96:AD96" si="49">SUMPRODUCT(($A$94:$A$95),(G94:G95))</f>
        <v>0</v>
      </c>
      <c r="H96" s="9">
        <f t="shared" si="49"/>
        <v>0</v>
      </c>
      <c r="I96" s="9">
        <f t="shared" si="49"/>
        <v>0</v>
      </c>
      <c r="J96" s="9">
        <f t="shared" si="49"/>
        <v>0</v>
      </c>
      <c r="K96" s="9">
        <f t="shared" si="49"/>
        <v>0</v>
      </c>
      <c r="L96" s="9">
        <f t="shared" si="49"/>
        <v>0</v>
      </c>
      <c r="M96" s="9">
        <f t="shared" si="49"/>
        <v>0</v>
      </c>
      <c r="N96" s="9">
        <f t="shared" si="49"/>
        <v>0</v>
      </c>
      <c r="O96" s="9">
        <f t="shared" si="49"/>
        <v>0</v>
      </c>
      <c r="P96" s="9">
        <f t="shared" si="49"/>
        <v>0</v>
      </c>
      <c r="Q96" s="9">
        <f t="shared" si="49"/>
        <v>0</v>
      </c>
      <c r="R96" s="10">
        <f t="shared" si="49"/>
        <v>0</v>
      </c>
      <c r="S96" s="11">
        <f t="shared" si="49"/>
        <v>0</v>
      </c>
      <c r="T96" s="9">
        <f t="shared" si="49"/>
        <v>0</v>
      </c>
      <c r="U96" s="9">
        <f t="shared" si="49"/>
        <v>0</v>
      </c>
      <c r="V96" s="9">
        <f t="shared" si="49"/>
        <v>0</v>
      </c>
      <c r="W96" s="9">
        <f t="shared" si="49"/>
        <v>0</v>
      </c>
      <c r="X96" s="9">
        <f t="shared" si="49"/>
        <v>0</v>
      </c>
      <c r="Y96" s="9">
        <f t="shared" si="49"/>
        <v>0</v>
      </c>
      <c r="Z96" s="9">
        <f t="shared" si="49"/>
        <v>0</v>
      </c>
      <c r="AA96" s="9">
        <f t="shared" si="49"/>
        <v>0</v>
      </c>
      <c r="AB96" s="9">
        <f t="shared" si="49"/>
        <v>0</v>
      </c>
      <c r="AC96" s="9">
        <f t="shared" si="49"/>
        <v>0</v>
      </c>
      <c r="AD96" s="10">
        <f t="shared" si="49"/>
        <v>0</v>
      </c>
      <c r="AE96" s="143"/>
      <c r="AF96" s="143">
        <f t="shared" ref="AF96:AN96" si="50">SUMPRODUCT(($A$94:$A$95),(AF94:AF95))</f>
        <v>0</v>
      </c>
      <c r="AG96" s="9">
        <f t="shared" si="50"/>
        <v>0</v>
      </c>
      <c r="AH96" s="9">
        <f t="shared" si="50"/>
        <v>0</v>
      </c>
      <c r="AI96" s="9">
        <f t="shared" si="50"/>
        <v>0</v>
      </c>
      <c r="AJ96" s="9">
        <f t="shared" si="50"/>
        <v>0</v>
      </c>
      <c r="AK96" s="9">
        <f t="shared" si="50"/>
        <v>0</v>
      </c>
      <c r="AL96" s="9">
        <f t="shared" si="50"/>
        <v>0</v>
      </c>
      <c r="AM96" s="9">
        <f t="shared" si="50"/>
        <v>0</v>
      </c>
      <c r="AN96" s="14">
        <f t="shared" si="50"/>
        <v>0</v>
      </c>
      <c r="AO96" s="14"/>
      <c r="AP96" s="19">
        <f>SUM(G96:AD96)</f>
        <v>0</v>
      </c>
      <c r="AQ96" s="106">
        <f>COUNT(G96:AN96)</f>
        <v>33</v>
      </c>
      <c r="AR96" s="18">
        <f t="shared" ref="AR96" si="51">AP96/AQ96</f>
        <v>0</v>
      </c>
      <c r="AS96" s="49"/>
    </row>
    <row r="97" spans="1:50" s="23" customFormat="1" ht="6" customHeight="1" thickBot="1" x14ac:dyDescent="0.25">
      <c r="A97" s="43"/>
      <c r="C97" s="44"/>
      <c r="D97" s="44"/>
      <c r="E97" s="44"/>
      <c r="F97" s="45"/>
      <c r="G97" s="46"/>
      <c r="H97"/>
      <c r="I97"/>
      <c r="J97"/>
      <c r="K97"/>
      <c r="L97"/>
      <c r="M97"/>
      <c r="N97"/>
      <c r="O97"/>
      <c r="P97" s="46"/>
      <c r="Q97" s="46"/>
      <c r="R97" s="46"/>
      <c r="S97" s="46"/>
      <c r="T97" s="46"/>
      <c r="U97" s="46"/>
      <c r="V97" s="46"/>
      <c r="W97" s="46"/>
      <c r="X97" s="46"/>
      <c r="Y97" s="46"/>
      <c r="Z97"/>
      <c r="AA97"/>
      <c r="AB97"/>
      <c r="AC97"/>
      <c r="AD97"/>
      <c r="AE97"/>
      <c r="AF97"/>
      <c r="AG97"/>
      <c r="AH97"/>
      <c r="AI97"/>
      <c r="AJ97"/>
      <c r="AK97"/>
      <c r="AL97"/>
      <c r="AM97"/>
      <c r="AN97"/>
      <c r="AO97"/>
      <c r="AP97" s="47"/>
      <c r="AQ97" s="48"/>
      <c r="AR97" s="48"/>
    </row>
    <row r="98" spans="1:50" s="23" customFormat="1" ht="16" thickBot="1" x14ac:dyDescent="0.25">
      <c r="A98"/>
      <c r="C98" s="319"/>
      <c r="D98" s="320"/>
      <c r="E98" s="321"/>
      <c r="F98" s="100"/>
      <c r="G98" s="102">
        <f t="shared" ref="G98:AD98" si="52">SUM(G78+G91+G96)</f>
        <v>116327.97756516001</v>
      </c>
      <c r="H98" s="101">
        <f t="shared" si="52"/>
        <v>103902.37875288683</v>
      </c>
      <c r="I98" s="101">
        <f t="shared" si="52"/>
        <v>77397.904157043871</v>
      </c>
      <c r="J98" s="101">
        <f t="shared" si="52"/>
        <v>50801.474760805002</v>
      </c>
      <c r="K98" s="101">
        <f t="shared" si="52"/>
        <v>38999.215110524579</v>
      </c>
      <c r="L98" s="101">
        <f t="shared" si="52"/>
        <v>35928.426261959743</v>
      </c>
      <c r="M98" s="101">
        <f t="shared" si="52"/>
        <v>41482.999838337179</v>
      </c>
      <c r="N98" s="101">
        <f t="shared" si="52"/>
        <v>41482.999838337179</v>
      </c>
      <c r="O98" s="101">
        <f t="shared" si="52"/>
        <v>45164.495669745949</v>
      </c>
      <c r="P98" s="101">
        <f t="shared" si="52"/>
        <v>33371.410767898386</v>
      </c>
      <c r="Q98" s="101">
        <f t="shared" si="52"/>
        <v>25873.05635103926</v>
      </c>
      <c r="R98" s="103">
        <f t="shared" si="52"/>
        <v>43000.774549653579</v>
      </c>
      <c r="S98" s="102">
        <f t="shared" si="52"/>
        <v>22915.07487682833</v>
      </c>
      <c r="T98" s="101">
        <f t="shared" si="52"/>
        <v>21937.354992301771</v>
      </c>
      <c r="U98" s="101">
        <f t="shared" si="52"/>
        <v>22915.07487682833</v>
      </c>
      <c r="V98" s="101">
        <f t="shared" si="52"/>
        <v>23947.490338722091</v>
      </c>
      <c r="W98" s="101">
        <f t="shared" si="52"/>
        <v>32192.618468052351</v>
      </c>
      <c r="X98" s="101">
        <f t="shared" si="52"/>
        <v>41065.773248652811</v>
      </c>
      <c r="Y98" s="101">
        <f t="shared" si="52"/>
        <v>45164.228558121635</v>
      </c>
      <c r="Z98" s="101">
        <f t="shared" si="52"/>
        <v>41341.23105812163</v>
      </c>
      <c r="AA98" s="101">
        <f t="shared" si="52"/>
        <v>40806.366077752115</v>
      </c>
      <c r="AB98" s="101">
        <f t="shared" si="52"/>
        <v>36341.23105812163</v>
      </c>
      <c r="AC98" s="101">
        <f t="shared" si="52"/>
        <v>30806.366077752118</v>
      </c>
      <c r="AD98" s="103">
        <f t="shared" si="52"/>
        <v>28841.231058121633</v>
      </c>
      <c r="AE98" s="152"/>
      <c r="AF98" s="101">
        <f t="shared" ref="AF98:AN98" si="53">SUM(AF78+AF91+AF96)</f>
        <v>28841.231058121633</v>
      </c>
      <c r="AG98" s="101">
        <f t="shared" si="53"/>
        <v>27236.636117013088</v>
      </c>
      <c r="AH98" s="101">
        <f t="shared" si="53"/>
        <v>28841.231058121633</v>
      </c>
      <c r="AI98" s="101">
        <f t="shared" si="53"/>
        <v>28306.366077752118</v>
      </c>
      <c r="AJ98" s="101">
        <f t="shared" si="53"/>
        <v>26841.231058121633</v>
      </c>
      <c r="AK98" s="101">
        <f t="shared" si="53"/>
        <v>28806.366077752118</v>
      </c>
      <c r="AL98" s="101">
        <f t="shared" si="53"/>
        <v>36961.378125673597</v>
      </c>
      <c r="AM98" s="101">
        <f t="shared" si="53"/>
        <v>39351.03318081217</v>
      </c>
      <c r="AN98" s="101">
        <f t="shared" si="53"/>
        <v>151555.56313317936</v>
      </c>
      <c r="AO98" s="104"/>
      <c r="AP98" s="105">
        <f>SUM(G98:AN98)</f>
        <v>1438748.1901993155</v>
      </c>
      <c r="AQ98" s="105">
        <f>COUNT(G98:AO98)</f>
        <v>33</v>
      </c>
      <c r="AR98" s="154">
        <f t="shared" ref="AR98" si="54">AP98/AQ98</f>
        <v>43598.430006039867</v>
      </c>
      <c r="AS98" s="49"/>
    </row>
    <row r="99" spans="1:50" s="23" customFormat="1" x14ac:dyDescent="0.2">
      <c r="A99" s="3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147">
        <f>SUM(AP96+AP91+AP78)</f>
        <v>1438748.1901993151</v>
      </c>
      <c r="AQ99" s="22" t="str">
        <f>IF(AP99=AP98,"OK","ERROR")</f>
        <v>OK</v>
      </c>
      <c r="AR99" s="22"/>
    </row>
    <row r="100" spans="1:50" x14ac:dyDescent="0.2">
      <c r="D100" s="170" t="s">
        <v>62</v>
      </c>
      <c r="I100" s="170" t="s">
        <v>102</v>
      </c>
      <c r="AN100" s="23"/>
      <c r="AO100" s="23"/>
      <c r="AP100" s="23"/>
      <c r="AQ100" s="23"/>
      <c r="AR100" s="23"/>
      <c r="AT100" s="22"/>
      <c r="AU100" s="22"/>
      <c r="AV100" s="22"/>
      <c r="AW100" s="22"/>
      <c r="AX100" s="22"/>
    </row>
    <row r="101" spans="1:50" s="23" customFormat="1" x14ac:dyDescent="0.2">
      <c r="A101" s="32"/>
      <c r="D101" s="175"/>
      <c r="E101" s="172" t="s">
        <v>40</v>
      </c>
      <c r="F101" s="300" t="s">
        <v>63</v>
      </c>
      <c r="G101" s="300"/>
      <c r="H101" s="68"/>
      <c r="I101" s="291"/>
      <c r="J101" s="291"/>
      <c r="K101" s="291"/>
      <c r="L101" s="291"/>
      <c r="M101" s="291"/>
      <c r="N101" s="291"/>
      <c r="O101" s="301" t="s">
        <v>101</v>
      </c>
      <c r="P101" s="302"/>
      <c r="Q101" s="378" t="s">
        <v>61</v>
      </c>
      <c r="R101" s="378"/>
      <c r="S101" s="378"/>
      <c r="T101" s="378"/>
      <c r="U101" s="378"/>
      <c r="V101" s="378"/>
      <c r="W101" s="378"/>
      <c r="X101" s="378"/>
      <c r="Y101" s="378"/>
      <c r="Z101" s="378"/>
      <c r="AA101" s="378"/>
      <c r="AB101" s="378"/>
      <c r="AC101" s="378"/>
      <c r="AD101" s="378"/>
      <c r="AE101" s="378"/>
      <c r="AF101" s="378"/>
      <c r="AG101" s="378"/>
      <c r="AH101" s="378"/>
      <c r="AI101" s="22"/>
      <c r="AJ101" s="22"/>
      <c r="AK101" s="22"/>
      <c r="AL101" s="22"/>
      <c r="AM101" s="22"/>
    </row>
    <row r="102" spans="1:50" s="23" customFormat="1" x14ac:dyDescent="0.2">
      <c r="A102" s="32"/>
      <c r="C102" s="22"/>
      <c r="D102" s="174" t="s">
        <v>65</v>
      </c>
      <c r="E102" s="173">
        <f>AF43-E103</f>
        <v>381847.23404816887</v>
      </c>
      <c r="F102" s="298">
        <f>AP98</f>
        <v>1438748.1901993155</v>
      </c>
      <c r="G102" s="298"/>
      <c r="H102" s="32"/>
      <c r="I102" s="291" t="s">
        <v>103</v>
      </c>
      <c r="J102" s="291"/>
      <c r="K102" s="291"/>
      <c r="L102" s="291"/>
      <c r="M102" s="291"/>
      <c r="N102" s="291"/>
      <c r="O102" s="389">
        <f>F48*0.005</f>
        <v>625000</v>
      </c>
      <c r="P102" s="390"/>
      <c r="Q102" s="291" t="s">
        <v>111</v>
      </c>
      <c r="R102" s="291"/>
      <c r="S102" s="291"/>
      <c r="T102" s="291"/>
      <c r="U102" s="291"/>
      <c r="V102" s="291"/>
      <c r="W102" s="291"/>
      <c r="X102" s="291"/>
      <c r="Y102" s="291"/>
      <c r="Z102" s="291"/>
      <c r="AA102" s="291"/>
      <c r="AB102" s="291"/>
      <c r="AC102" s="291"/>
      <c r="AD102" s="291"/>
      <c r="AE102" s="291"/>
      <c r="AF102" s="291"/>
      <c r="AG102" s="291"/>
      <c r="AH102" s="291"/>
      <c r="AI102" s="22"/>
      <c r="AJ102" s="22"/>
      <c r="AK102" s="22"/>
      <c r="AL102" s="22"/>
      <c r="AM102" s="22"/>
    </row>
    <row r="103" spans="1:50" s="23" customFormat="1" x14ac:dyDescent="0.2">
      <c r="A103" s="32"/>
      <c r="C103" s="22"/>
      <c r="D103" s="174" t="s">
        <v>64</v>
      </c>
      <c r="E103" s="205">
        <f>AF41</f>
        <v>24000</v>
      </c>
      <c r="F103" s="298">
        <v>0</v>
      </c>
      <c r="G103" s="298"/>
      <c r="H103" s="32"/>
      <c r="I103" s="291" t="s">
        <v>100</v>
      </c>
      <c r="J103" s="291"/>
      <c r="K103" s="291"/>
      <c r="L103" s="291"/>
      <c r="M103" s="291"/>
      <c r="N103" s="291"/>
      <c r="O103" s="389"/>
      <c r="P103" s="390"/>
      <c r="Q103" s="291"/>
      <c r="R103" s="291"/>
      <c r="S103" s="291"/>
      <c r="T103" s="291"/>
      <c r="U103" s="291"/>
      <c r="V103" s="291"/>
      <c r="W103" s="291"/>
      <c r="X103" s="291"/>
      <c r="Y103" s="291"/>
      <c r="Z103" s="291"/>
      <c r="AA103" s="291"/>
      <c r="AB103" s="291"/>
      <c r="AC103" s="291"/>
      <c r="AD103" s="291"/>
      <c r="AE103" s="291"/>
      <c r="AF103" s="291"/>
      <c r="AG103" s="291"/>
      <c r="AH103" s="291"/>
      <c r="AI103" s="22"/>
      <c r="AJ103" s="22"/>
      <c r="AK103" s="22"/>
      <c r="AL103" s="22"/>
      <c r="AM103" s="22"/>
    </row>
    <row r="104" spans="1:50" s="23" customFormat="1" x14ac:dyDescent="0.2">
      <c r="A104" s="32"/>
      <c r="C104" s="22"/>
      <c r="D104" s="179" t="s">
        <v>71</v>
      </c>
      <c r="E104" s="177">
        <f>SUM(E102:E103)</f>
        <v>405847.23404816887</v>
      </c>
      <c r="F104" s="297">
        <f>SUM(F102:G103)</f>
        <v>1438748.1901993155</v>
      </c>
      <c r="G104" s="297"/>
      <c r="H104" s="32"/>
      <c r="I104" s="299" t="s">
        <v>104</v>
      </c>
      <c r="J104" s="299"/>
      <c r="K104" s="299"/>
      <c r="L104" s="299"/>
      <c r="M104" s="299"/>
      <c r="N104" s="299"/>
      <c r="O104" s="389">
        <f>(F48*5)*0.04*0.01</f>
        <v>250000</v>
      </c>
      <c r="P104" s="390"/>
      <c r="Q104" s="291" t="s">
        <v>112</v>
      </c>
      <c r="R104" s="291"/>
      <c r="S104" s="291"/>
      <c r="T104" s="291"/>
      <c r="U104" s="291"/>
      <c r="V104" s="291"/>
      <c r="W104" s="291"/>
      <c r="X104" s="291"/>
      <c r="Y104" s="291"/>
      <c r="Z104" s="291"/>
      <c r="AA104" s="291"/>
      <c r="AB104" s="291"/>
      <c r="AC104" s="291"/>
      <c r="AD104" s="291"/>
      <c r="AE104" s="291"/>
      <c r="AF104" s="291"/>
      <c r="AG104" s="291"/>
      <c r="AH104" s="291"/>
      <c r="AI104" s="22"/>
      <c r="AJ104" s="22"/>
      <c r="AK104" s="22"/>
      <c r="AL104" s="22"/>
      <c r="AM104" s="22"/>
    </row>
    <row r="105" spans="1:50" s="23" customFormat="1" x14ac:dyDescent="0.2">
      <c r="A105" s="32"/>
      <c r="C105" s="22"/>
      <c r="D105" s="174" t="s">
        <v>66</v>
      </c>
      <c r="E105" s="181">
        <f>SUM(E102:E103)/$F$1</f>
        <v>1623.3889361926756</v>
      </c>
      <c r="F105" s="298">
        <f>SUM(F102:G103)/$F$1</f>
        <v>5754.9927607972622</v>
      </c>
      <c r="G105" s="298"/>
      <c r="H105" s="32"/>
      <c r="I105" s="299" t="s">
        <v>105</v>
      </c>
      <c r="J105" s="299"/>
      <c r="K105" s="299"/>
      <c r="L105" s="299"/>
      <c r="M105" s="299"/>
      <c r="N105" s="299"/>
      <c r="O105" s="389">
        <f>((F48*5)*0.04)*0.05</f>
        <v>1250000</v>
      </c>
      <c r="P105" s="390"/>
      <c r="Q105" s="291" t="s">
        <v>113</v>
      </c>
      <c r="R105" s="291"/>
      <c r="S105" s="291"/>
      <c r="T105" s="291"/>
      <c r="U105" s="291"/>
      <c r="V105" s="291"/>
      <c r="W105" s="291"/>
      <c r="X105" s="291"/>
      <c r="Y105" s="291"/>
      <c r="Z105" s="291"/>
      <c r="AA105" s="291"/>
      <c r="AB105" s="291"/>
      <c r="AC105" s="291"/>
      <c r="AD105" s="291"/>
      <c r="AE105" s="291"/>
      <c r="AF105" s="291"/>
      <c r="AG105" s="291"/>
      <c r="AH105" s="291"/>
      <c r="AI105" s="22"/>
      <c r="AJ105" s="22"/>
      <c r="AK105" s="22"/>
      <c r="AL105" s="22"/>
      <c r="AM105" s="22"/>
    </row>
    <row r="106" spans="1:50" s="23" customFormat="1" x14ac:dyDescent="0.2">
      <c r="A106" s="32"/>
      <c r="C106" s="22"/>
      <c r="D106" s="174" t="s">
        <v>72</v>
      </c>
      <c r="E106" s="181">
        <f>E104-F104</f>
        <v>-1032900.9561511467</v>
      </c>
      <c r="F106" s="298">
        <v>0</v>
      </c>
      <c r="G106" s="298"/>
      <c r="H106" s="32"/>
      <c r="I106" s="291" t="s">
        <v>106</v>
      </c>
      <c r="J106" s="291"/>
      <c r="K106" s="291"/>
      <c r="L106" s="291"/>
      <c r="M106" s="291"/>
      <c r="N106" s="291"/>
      <c r="O106" s="389">
        <f>((F48*5)*0.04)*0.03</f>
        <v>750000</v>
      </c>
      <c r="P106" s="390"/>
      <c r="Q106" s="291" t="s">
        <v>114</v>
      </c>
      <c r="R106" s="291"/>
      <c r="S106" s="291"/>
      <c r="T106" s="291"/>
      <c r="U106" s="291"/>
      <c r="V106" s="291"/>
      <c r="W106" s="291"/>
      <c r="X106" s="291"/>
      <c r="Y106" s="291"/>
      <c r="Z106" s="291"/>
      <c r="AA106" s="291"/>
      <c r="AB106" s="291"/>
      <c r="AC106" s="291"/>
      <c r="AD106" s="291"/>
      <c r="AE106" s="291"/>
      <c r="AF106" s="291"/>
      <c r="AG106" s="291"/>
      <c r="AH106" s="291"/>
      <c r="AI106" s="22"/>
      <c r="AJ106" s="22"/>
      <c r="AK106" s="22"/>
      <c r="AL106" s="22"/>
      <c r="AM106" s="22"/>
    </row>
    <row r="107" spans="1:50" s="23" customFormat="1" x14ac:dyDescent="0.2">
      <c r="A107" s="32"/>
      <c r="C107" s="22"/>
      <c r="D107" s="179" t="s">
        <v>70</v>
      </c>
      <c r="E107" s="180">
        <f>F105-E105</f>
        <v>4131.6038246045864</v>
      </c>
      <c r="F107" s="297">
        <v>0</v>
      </c>
      <c r="G107" s="297"/>
      <c r="H107" s="32"/>
      <c r="I107" s="291" t="s">
        <v>107</v>
      </c>
      <c r="J107" s="291"/>
      <c r="K107" s="291"/>
      <c r="L107" s="291"/>
      <c r="M107" s="291"/>
      <c r="N107" s="291"/>
      <c r="O107" s="389">
        <f>(F48*0.04)/24*12</f>
        <v>2500000</v>
      </c>
      <c r="P107" s="390"/>
      <c r="Q107" s="291" t="s">
        <v>115</v>
      </c>
      <c r="R107" s="291"/>
      <c r="S107" s="291"/>
      <c r="T107" s="291"/>
      <c r="U107" s="291"/>
      <c r="V107" s="291"/>
      <c r="W107" s="291"/>
      <c r="X107" s="291"/>
      <c r="Y107" s="291"/>
      <c r="Z107" s="291"/>
      <c r="AA107" s="291"/>
      <c r="AB107" s="291"/>
      <c r="AC107" s="291"/>
      <c r="AD107" s="291"/>
      <c r="AE107" s="291"/>
      <c r="AF107" s="291"/>
      <c r="AG107" s="291"/>
      <c r="AH107" s="291"/>
      <c r="AI107" s="22"/>
      <c r="AJ107" s="22"/>
      <c r="AK107" s="22"/>
      <c r="AL107" s="22"/>
      <c r="AM107" s="22"/>
    </row>
    <row r="108" spans="1:50" s="23" customFormat="1" x14ac:dyDescent="0.2">
      <c r="A108" s="32"/>
      <c r="C108" s="22"/>
      <c r="D108" s="174" t="s">
        <v>68</v>
      </c>
      <c r="E108" s="176">
        <f>SUM(E102:E103)/(F2*0.04)</f>
        <v>8.1169446809633769E-2</v>
      </c>
      <c r="F108" s="296">
        <f>SUM(F102:G103)/(F2*0.04)</f>
        <v>0.28774963803986309</v>
      </c>
      <c r="G108" s="296"/>
      <c r="H108" s="166"/>
      <c r="I108" s="291" t="s">
        <v>108</v>
      </c>
      <c r="J108" s="291"/>
      <c r="K108" s="291"/>
      <c r="L108" s="291"/>
      <c r="M108" s="291"/>
      <c r="N108" s="291"/>
      <c r="O108" s="389">
        <f>(AVERAGE(E66:E78)*52)</f>
        <v>275098.41780390509</v>
      </c>
      <c r="P108" s="390"/>
      <c r="Q108" s="291" t="s">
        <v>116</v>
      </c>
      <c r="R108" s="291"/>
      <c r="S108" s="291"/>
      <c r="T108" s="291"/>
      <c r="U108" s="291"/>
      <c r="V108" s="291"/>
      <c r="W108" s="291"/>
      <c r="X108" s="291"/>
      <c r="Y108" s="291"/>
      <c r="Z108" s="291"/>
      <c r="AA108" s="291"/>
      <c r="AB108" s="291"/>
      <c r="AC108" s="291"/>
      <c r="AD108" s="291"/>
      <c r="AE108" s="291"/>
      <c r="AF108" s="291"/>
      <c r="AG108" s="291"/>
      <c r="AH108" s="291"/>
      <c r="AI108" s="22"/>
      <c r="AJ108" s="22"/>
      <c r="AK108" s="22"/>
      <c r="AL108" s="22"/>
      <c r="AM108" s="22"/>
    </row>
    <row r="109" spans="1:50" s="23" customFormat="1" x14ac:dyDescent="0.2">
      <c r="A109" s="32"/>
      <c r="C109" s="22"/>
      <c r="D109" s="174" t="s">
        <v>69</v>
      </c>
      <c r="E109" s="178">
        <f>SUM(E102:E103)/$F$2</f>
        <v>3.2467778723853512E-3</v>
      </c>
      <c r="F109" s="290">
        <f>SUM(F102:G103)/$F$2</f>
        <v>1.1509985521594525E-2</v>
      </c>
      <c r="G109" s="290"/>
      <c r="H109" s="32"/>
      <c r="I109" s="291" t="s">
        <v>109</v>
      </c>
      <c r="J109" s="291"/>
      <c r="K109" s="291"/>
      <c r="L109" s="291"/>
      <c r="M109" s="291"/>
      <c r="N109" s="291"/>
      <c r="O109" s="389">
        <f>((F48*5)*0.75)/5*0.02</f>
        <v>1875000</v>
      </c>
      <c r="P109" s="390"/>
      <c r="Q109" s="291" t="s">
        <v>117</v>
      </c>
      <c r="R109" s="291"/>
      <c r="S109" s="291"/>
      <c r="T109" s="291"/>
      <c r="U109" s="291"/>
      <c r="V109" s="291"/>
      <c r="W109" s="291"/>
      <c r="X109" s="291"/>
      <c r="Y109" s="291"/>
      <c r="Z109" s="291"/>
      <c r="AA109" s="291"/>
      <c r="AB109" s="291"/>
      <c r="AC109" s="291"/>
      <c r="AD109" s="291"/>
      <c r="AE109" s="291"/>
      <c r="AF109" s="291"/>
      <c r="AG109" s="291"/>
      <c r="AH109" s="291"/>
      <c r="AI109" s="22"/>
      <c r="AJ109" s="22"/>
      <c r="AK109" s="22"/>
      <c r="AL109" s="22"/>
      <c r="AM109" s="22"/>
    </row>
    <row r="110" spans="1:50" s="23" customFormat="1" x14ac:dyDescent="0.2">
      <c r="A110" s="32"/>
      <c r="C110" s="22"/>
      <c r="D110" s="187"/>
      <c r="E110" s="188"/>
      <c r="F110" s="188"/>
      <c r="G110" s="188"/>
      <c r="H110" s="32"/>
      <c r="I110" s="187"/>
      <c r="J110" s="187"/>
      <c r="K110" s="187"/>
      <c r="L110" s="187"/>
      <c r="M110" s="187"/>
      <c r="N110" s="187"/>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row>
    <row r="111" spans="1:50" x14ac:dyDescent="0.2">
      <c r="D111" s="170" t="s">
        <v>110</v>
      </c>
      <c r="F111" s="288"/>
      <c r="G111" s="288"/>
      <c r="H111" s="288"/>
      <c r="I111" s="289"/>
      <c r="J111" s="289"/>
      <c r="K111" s="32"/>
      <c r="L111" s="289"/>
      <c r="M111" s="289"/>
      <c r="AN111"/>
    </row>
    <row r="112" spans="1:50" x14ac:dyDescent="0.2">
      <c r="D112" s="295"/>
      <c r="E112" s="295"/>
      <c r="F112" s="182">
        <v>44927</v>
      </c>
      <c r="G112" s="182">
        <v>44958</v>
      </c>
      <c r="H112" s="182">
        <v>44986</v>
      </c>
      <c r="I112" s="182">
        <v>45017</v>
      </c>
      <c r="J112" s="182">
        <v>45047</v>
      </c>
      <c r="K112" s="182">
        <v>45078</v>
      </c>
      <c r="L112" s="182">
        <v>45108</v>
      </c>
      <c r="M112" s="182">
        <v>45139</v>
      </c>
      <c r="N112" s="182">
        <v>45170</v>
      </c>
      <c r="O112" s="182">
        <v>45200</v>
      </c>
      <c r="P112" s="182">
        <v>45231</v>
      </c>
      <c r="Q112" s="182">
        <v>45261</v>
      </c>
      <c r="R112" s="182">
        <v>45292</v>
      </c>
      <c r="S112" s="182">
        <v>45323</v>
      </c>
      <c r="T112" s="182">
        <v>45352</v>
      </c>
      <c r="U112" s="182">
        <v>45383</v>
      </c>
      <c r="V112" s="182">
        <v>45413</v>
      </c>
      <c r="W112" s="182">
        <v>45444</v>
      </c>
      <c r="X112" s="182">
        <v>45474</v>
      </c>
      <c r="Y112" s="182">
        <v>45505</v>
      </c>
      <c r="Z112" s="182">
        <v>45536</v>
      </c>
      <c r="AA112" s="182">
        <v>45566</v>
      </c>
      <c r="AB112" s="182">
        <v>45597</v>
      </c>
      <c r="AC112" s="182">
        <v>45627</v>
      </c>
      <c r="AD112" s="182">
        <v>45658</v>
      </c>
      <c r="AF112" s="182">
        <v>45689</v>
      </c>
      <c r="AG112" s="182">
        <v>45717</v>
      </c>
      <c r="AH112" s="182">
        <v>45748</v>
      </c>
      <c r="AI112" s="182">
        <v>45778</v>
      </c>
      <c r="AJ112" s="182">
        <v>45809</v>
      </c>
      <c r="AK112" s="182">
        <v>45839</v>
      </c>
      <c r="AL112" s="182">
        <v>45870</v>
      </c>
      <c r="AM112" s="182">
        <v>45901</v>
      </c>
      <c r="AN112"/>
    </row>
    <row r="113" spans="4:40" x14ac:dyDescent="0.2">
      <c r="D113" s="292" t="s">
        <v>97</v>
      </c>
      <c r="E113" s="292"/>
      <c r="F113" s="183">
        <f t="shared" ref="F113:AC113" si="55">G43</f>
        <v>66068.775981524261</v>
      </c>
      <c r="G113" s="183">
        <f t="shared" si="55"/>
        <v>55980.369515011545</v>
      </c>
      <c r="H113" s="183">
        <f t="shared" si="55"/>
        <v>51850.420653249756</v>
      </c>
      <c r="I113" s="183">
        <f t="shared" si="55"/>
        <v>40204.30550973276</v>
      </c>
      <c r="J113" s="183">
        <f t="shared" si="55"/>
        <v>26881.095348069943</v>
      </c>
      <c r="K113" s="183">
        <f t="shared" si="55"/>
        <v>26249.587594853183</v>
      </c>
      <c r="L113" s="183">
        <f t="shared" si="55"/>
        <v>17192.901270207854</v>
      </c>
      <c r="M113" s="183">
        <f t="shared" si="55"/>
        <v>14692.901270207853</v>
      </c>
      <c r="N113" s="183">
        <f t="shared" si="55"/>
        <v>12856.033487297922</v>
      </c>
      <c r="O113" s="183">
        <f t="shared" si="55"/>
        <v>14192.901270207853</v>
      </c>
      <c r="P113" s="183">
        <f t="shared" si="55"/>
        <v>13356.033487297922</v>
      </c>
      <c r="Q113" s="183">
        <f t="shared" si="55"/>
        <v>21809.877367205543</v>
      </c>
      <c r="R113" s="183">
        <f t="shared" si="55"/>
        <v>3945.1605080831414</v>
      </c>
      <c r="S113" s="183">
        <f t="shared" si="55"/>
        <v>3819.6662817551969</v>
      </c>
      <c r="T113" s="183">
        <f t="shared" si="55"/>
        <v>3945.1605080831414</v>
      </c>
      <c r="U113" s="183">
        <f t="shared" si="55"/>
        <v>3882.4133949191687</v>
      </c>
      <c r="V113" s="183">
        <f t="shared" si="55"/>
        <v>3945.1605080831414</v>
      </c>
      <c r="W113" s="183">
        <f t="shared" si="55"/>
        <v>3882.4133949191687</v>
      </c>
      <c r="X113" s="183">
        <f t="shared" si="55"/>
        <v>4042.4185334872982</v>
      </c>
      <c r="Y113" s="183">
        <f t="shared" si="55"/>
        <v>4042.4185334872982</v>
      </c>
      <c r="Z113" s="183">
        <f t="shared" si="55"/>
        <v>3976.5340646651275</v>
      </c>
      <c r="AA113" s="183">
        <f t="shared" si="55"/>
        <v>3021.2092667436491</v>
      </c>
      <c r="AB113" s="183">
        <f t="shared" si="55"/>
        <v>2988.2670323325638</v>
      </c>
      <c r="AC113" s="183">
        <f t="shared" si="55"/>
        <v>3021.2092667436491</v>
      </c>
      <c r="AD113" s="184"/>
      <c r="AF113" s="184"/>
      <c r="AG113" s="184"/>
      <c r="AH113" s="184"/>
      <c r="AI113" s="184"/>
      <c r="AJ113" s="184"/>
      <c r="AK113" s="184"/>
      <c r="AL113" s="184"/>
      <c r="AM113" s="184"/>
      <c r="AN113"/>
    </row>
    <row r="114" spans="4:40" ht="15" customHeight="1" x14ac:dyDescent="0.2">
      <c r="D114" s="293" t="s">
        <v>98</v>
      </c>
      <c r="E114" s="293"/>
      <c r="F114" s="186">
        <f>F113</f>
        <v>66068.775981524261</v>
      </c>
      <c r="G114" s="186">
        <f>F114+G113</f>
        <v>122049.14549653581</v>
      </c>
      <c r="H114" s="186">
        <f t="shared" ref="H114:AC114" si="56">G114+H113</f>
        <v>173899.56614978556</v>
      </c>
      <c r="I114" s="186">
        <f t="shared" si="56"/>
        <v>214103.87165951834</v>
      </c>
      <c r="J114" s="186">
        <f t="shared" si="56"/>
        <v>240984.96700758828</v>
      </c>
      <c r="K114" s="186">
        <f t="shared" si="56"/>
        <v>267234.55460244144</v>
      </c>
      <c r="L114" s="186">
        <f t="shared" si="56"/>
        <v>284427.45587264927</v>
      </c>
      <c r="M114" s="186">
        <f t="shared" si="56"/>
        <v>299120.3571428571</v>
      </c>
      <c r="N114" s="186">
        <f t="shared" si="56"/>
        <v>311976.39063015505</v>
      </c>
      <c r="O114" s="186">
        <f t="shared" si="56"/>
        <v>326169.29190036288</v>
      </c>
      <c r="P114" s="186">
        <f t="shared" si="56"/>
        <v>339525.32538766082</v>
      </c>
      <c r="Q114" s="186">
        <f t="shared" si="56"/>
        <v>361335.20275486639</v>
      </c>
      <c r="R114" s="186">
        <f t="shared" si="56"/>
        <v>365280.36326294951</v>
      </c>
      <c r="S114" s="186">
        <f t="shared" si="56"/>
        <v>369100.02954470471</v>
      </c>
      <c r="T114" s="186">
        <f t="shared" si="56"/>
        <v>373045.19005278783</v>
      </c>
      <c r="U114" s="186">
        <f t="shared" si="56"/>
        <v>376927.60344770702</v>
      </c>
      <c r="V114" s="186">
        <f t="shared" si="56"/>
        <v>380872.76395579014</v>
      </c>
      <c r="W114" s="186">
        <f t="shared" si="56"/>
        <v>384755.17735070933</v>
      </c>
      <c r="X114" s="186">
        <f t="shared" si="56"/>
        <v>388797.59588419663</v>
      </c>
      <c r="Y114" s="186">
        <f t="shared" si="56"/>
        <v>392840.01441768394</v>
      </c>
      <c r="Z114" s="186">
        <f t="shared" si="56"/>
        <v>396816.54848234908</v>
      </c>
      <c r="AA114" s="186">
        <f t="shared" si="56"/>
        <v>399837.75774909271</v>
      </c>
      <c r="AB114" s="186">
        <f t="shared" si="56"/>
        <v>402826.02478142525</v>
      </c>
      <c r="AC114" s="186">
        <f t="shared" si="56"/>
        <v>405847.23404816887</v>
      </c>
      <c r="AD114" s="186">
        <f>AC114+AD113</f>
        <v>405847.23404816887</v>
      </c>
      <c r="AF114" s="186"/>
      <c r="AG114" s="186">
        <f t="shared" ref="AG114:AM114" si="57">AF114+AG113</f>
        <v>0</v>
      </c>
      <c r="AH114" s="186">
        <f t="shared" si="57"/>
        <v>0</v>
      </c>
      <c r="AI114" s="186">
        <f t="shared" si="57"/>
        <v>0</v>
      </c>
      <c r="AJ114" s="186">
        <f t="shared" si="57"/>
        <v>0</v>
      </c>
      <c r="AK114" s="186">
        <f t="shared" si="57"/>
        <v>0</v>
      </c>
      <c r="AL114" s="186">
        <f t="shared" si="57"/>
        <v>0</v>
      </c>
      <c r="AM114" s="186">
        <f t="shared" si="57"/>
        <v>0</v>
      </c>
      <c r="AN114"/>
    </row>
    <row r="115" spans="4:40" x14ac:dyDescent="0.2">
      <c r="D115" s="292" t="s">
        <v>96</v>
      </c>
      <c r="E115" s="292"/>
      <c r="F115" s="183">
        <f t="shared" ref="F115:AA115" si="58">G98</f>
        <v>116327.97756516001</v>
      </c>
      <c r="G115" s="183">
        <f t="shared" si="58"/>
        <v>103902.37875288683</v>
      </c>
      <c r="H115" s="183">
        <f t="shared" si="58"/>
        <v>77397.904157043871</v>
      </c>
      <c r="I115" s="183">
        <f t="shared" si="58"/>
        <v>50801.474760805002</v>
      </c>
      <c r="J115" s="183">
        <f t="shared" si="58"/>
        <v>38999.215110524579</v>
      </c>
      <c r="K115" s="183">
        <f t="shared" si="58"/>
        <v>35928.426261959743</v>
      </c>
      <c r="L115" s="183">
        <f t="shared" si="58"/>
        <v>41482.999838337179</v>
      </c>
      <c r="M115" s="183">
        <f t="shared" si="58"/>
        <v>41482.999838337179</v>
      </c>
      <c r="N115" s="183">
        <f t="shared" si="58"/>
        <v>45164.495669745949</v>
      </c>
      <c r="O115" s="183">
        <f t="shared" si="58"/>
        <v>33371.410767898386</v>
      </c>
      <c r="P115" s="183">
        <f t="shared" si="58"/>
        <v>25873.05635103926</v>
      </c>
      <c r="Q115" s="183">
        <f t="shared" si="58"/>
        <v>43000.774549653579</v>
      </c>
      <c r="R115" s="183">
        <f t="shared" si="58"/>
        <v>22915.07487682833</v>
      </c>
      <c r="S115" s="183">
        <f t="shared" si="58"/>
        <v>21937.354992301771</v>
      </c>
      <c r="T115" s="183">
        <f t="shared" si="58"/>
        <v>22915.07487682833</v>
      </c>
      <c r="U115" s="183">
        <f t="shared" si="58"/>
        <v>23947.490338722091</v>
      </c>
      <c r="V115" s="183">
        <f t="shared" si="58"/>
        <v>32192.618468052351</v>
      </c>
      <c r="W115" s="183">
        <f t="shared" si="58"/>
        <v>41065.773248652811</v>
      </c>
      <c r="X115" s="183">
        <f t="shared" si="58"/>
        <v>45164.228558121635</v>
      </c>
      <c r="Y115" s="183">
        <f t="shared" si="58"/>
        <v>41341.23105812163</v>
      </c>
      <c r="Z115" s="183">
        <f t="shared" si="58"/>
        <v>40806.366077752115</v>
      </c>
      <c r="AA115" s="183">
        <f t="shared" si="58"/>
        <v>36341.23105812163</v>
      </c>
      <c r="AB115" s="183">
        <f t="shared" ref="AB115" si="59">AC98</f>
        <v>30806.366077752118</v>
      </c>
      <c r="AC115" s="183">
        <f t="shared" ref="AC115" si="60">AD98</f>
        <v>28841.231058121633</v>
      </c>
      <c r="AD115" s="183">
        <f>AF98</f>
        <v>28841.231058121633</v>
      </c>
      <c r="AF115" s="183">
        <f t="shared" ref="AF115" si="61">AG98</f>
        <v>27236.636117013088</v>
      </c>
      <c r="AG115" s="183">
        <f t="shared" ref="AG115" si="62">AH98</f>
        <v>28841.231058121633</v>
      </c>
      <c r="AH115" s="183">
        <f t="shared" ref="AH115" si="63">AI98</f>
        <v>28306.366077752118</v>
      </c>
      <c r="AI115" s="183">
        <f t="shared" ref="AI115" si="64">AJ98</f>
        <v>26841.231058121633</v>
      </c>
      <c r="AJ115" s="183">
        <f t="shared" ref="AJ115" si="65">AK98</f>
        <v>28806.366077752118</v>
      </c>
      <c r="AK115" s="183">
        <f t="shared" ref="AK115" si="66">AL98</f>
        <v>36961.378125673597</v>
      </c>
      <c r="AL115" s="183">
        <f t="shared" ref="AL115" si="67">AM98</f>
        <v>39351.03318081217</v>
      </c>
      <c r="AM115" s="183">
        <f t="shared" ref="AM115" si="68">AN98</f>
        <v>151555.56313317936</v>
      </c>
      <c r="AN115"/>
    </row>
    <row r="116" spans="4:40" ht="15" customHeight="1" x14ac:dyDescent="0.2">
      <c r="D116" s="294" t="s">
        <v>99</v>
      </c>
      <c r="E116" s="294"/>
      <c r="F116" s="185">
        <f>F115</f>
        <v>116327.97756516001</v>
      </c>
      <c r="G116" s="185">
        <f>F116+G115</f>
        <v>220230.35631804683</v>
      </c>
      <c r="H116" s="185">
        <f t="shared" ref="H116:AA116" si="69">G116+H115</f>
        <v>297628.2604750907</v>
      </c>
      <c r="I116" s="185">
        <f t="shared" si="69"/>
        <v>348429.73523589573</v>
      </c>
      <c r="J116" s="185">
        <f t="shared" si="69"/>
        <v>387428.95034642029</v>
      </c>
      <c r="K116" s="185">
        <f t="shared" si="69"/>
        <v>423357.37660838</v>
      </c>
      <c r="L116" s="185">
        <f t="shared" si="69"/>
        <v>464840.37644671719</v>
      </c>
      <c r="M116" s="185">
        <f t="shared" si="69"/>
        <v>506323.37628505437</v>
      </c>
      <c r="N116" s="185">
        <f t="shared" si="69"/>
        <v>551487.87195480033</v>
      </c>
      <c r="O116" s="185">
        <f t="shared" si="69"/>
        <v>584859.28272269876</v>
      </c>
      <c r="P116" s="185">
        <f t="shared" si="69"/>
        <v>610732.33907373797</v>
      </c>
      <c r="Q116" s="185">
        <f t="shared" si="69"/>
        <v>653733.1136233916</v>
      </c>
      <c r="R116" s="185">
        <f t="shared" si="69"/>
        <v>676648.18850021996</v>
      </c>
      <c r="S116" s="185">
        <f t="shared" si="69"/>
        <v>698585.54349252174</v>
      </c>
      <c r="T116" s="185">
        <f t="shared" si="69"/>
        <v>721500.61836935009</v>
      </c>
      <c r="U116" s="185">
        <f t="shared" si="69"/>
        <v>745448.10870807222</v>
      </c>
      <c r="V116" s="185">
        <f t="shared" si="69"/>
        <v>777640.72717612458</v>
      </c>
      <c r="W116" s="185">
        <f t="shared" si="69"/>
        <v>818706.50042477739</v>
      </c>
      <c r="X116" s="185">
        <f t="shared" si="69"/>
        <v>863870.72898289899</v>
      </c>
      <c r="Y116" s="185">
        <f t="shared" si="69"/>
        <v>905211.96004102065</v>
      </c>
      <c r="Z116" s="185">
        <f t="shared" si="69"/>
        <v>946018.32611877273</v>
      </c>
      <c r="AA116" s="185">
        <f t="shared" si="69"/>
        <v>982359.55717689439</v>
      </c>
      <c r="AB116" s="185">
        <f t="shared" ref="AB116" si="70">AA116+AB115</f>
        <v>1013165.9232546465</v>
      </c>
      <c r="AC116" s="185">
        <f t="shared" ref="AC116" si="71">AB116+AC115</f>
        <v>1042007.1543127681</v>
      </c>
      <c r="AD116" s="185">
        <f>AC116+AD115</f>
        <v>1070848.3853708897</v>
      </c>
      <c r="AF116" s="185">
        <f>AD116+AF115</f>
        <v>1098085.0214879028</v>
      </c>
      <c r="AG116" s="185">
        <f t="shared" ref="AG116" si="72">AF116+AG115</f>
        <v>1126926.2525460245</v>
      </c>
      <c r="AH116" s="185">
        <f t="shared" ref="AH116" si="73">AG116+AH115</f>
        <v>1155232.6186237766</v>
      </c>
      <c r="AI116" s="185">
        <f t="shared" ref="AI116" si="74">AH116+AI115</f>
        <v>1182073.8496818983</v>
      </c>
      <c r="AJ116" s="185">
        <f t="shared" ref="AJ116" si="75">AI116+AJ115</f>
        <v>1210880.2157596503</v>
      </c>
      <c r="AK116" s="185">
        <f t="shared" ref="AK116" si="76">AJ116+AK115</f>
        <v>1247841.593885324</v>
      </c>
      <c r="AL116" s="185">
        <f t="shared" ref="AL116" si="77">AK116+AL115</f>
        <v>1287192.6270661361</v>
      </c>
      <c r="AM116" s="185">
        <f t="shared" ref="AM116" si="78">AL116+AM115</f>
        <v>1438748.1901993155</v>
      </c>
      <c r="AN116"/>
    </row>
  </sheetData>
  <mergeCells count="99">
    <mergeCell ref="Q108:AH108"/>
    <mergeCell ref="Q109:AH109"/>
    <mergeCell ref="O104:P104"/>
    <mergeCell ref="O105:P105"/>
    <mergeCell ref="O106:P106"/>
    <mergeCell ref="O107:P107"/>
    <mergeCell ref="Q106:AH106"/>
    <mergeCell ref="Q107:AH107"/>
    <mergeCell ref="Q101:AH101"/>
    <mergeCell ref="Q102:AH102"/>
    <mergeCell ref="Q103:AH103"/>
    <mergeCell ref="Q104:AH104"/>
    <mergeCell ref="Q105:AH105"/>
    <mergeCell ref="F102:G102"/>
    <mergeCell ref="F103:G103"/>
    <mergeCell ref="F104:G104"/>
    <mergeCell ref="F105:G105"/>
    <mergeCell ref="F106:G106"/>
    <mergeCell ref="F107:G107"/>
    <mergeCell ref="F108:G108"/>
    <mergeCell ref="F109:G109"/>
    <mergeCell ref="D112:E112"/>
    <mergeCell ref="C4:F4"/>
    <mergeCell ref="G4:R4"/>
    <mergeCell ref="C5:F5"/>
    <mergeCell ref="G5:AD5"/>
    <mergeCell ref="C6:F11"/>
    <mergeCell ref="G6:K6"/>
    <mergeCell ref="G7:AD7"/>
    <mergeCell ref="K8:AD8"/>
    <mergeCell ref="S11:AD11"/>
    <mergeCell ref="C51:F51"/>
    <mergeCell ref="G51:AD51"/>
    <mergeCell ref="C13:F13"/>
    <mergeCell ref="G13:R13"/>
    <mergeCell ref="S13:AD13"/>
    <mergeCell ref="C14:F14"/>
    <mergeCell ref="C15:F15"/>
    <mergeCell ref="C28:E28"/>
    <mergeCell ref="C36:E36"/>
    <mergeCell ref="C41:E41"/>
    <mergeCell ref="C43:E43"/>
    <mergeCell ref="C50:F50"/>
    <mergeCell ref="G50:R50"/>
    <mergeCell ref="C49:AA49"/>
    <mergeCell ref="C52:F60"/>
    <mergeCell ref="G52:K52"/>
    <mergeCell ref="K53:O53"/>
    <mergeCell ref="M54:AN54"/>
    <mergeCell ref="Q55:U55"/>
    <mergeCell ref="U56:AN56"/>
    <mergeCell ref="V57:AC57"/>
    <mergeCell ref="Y58:AM58"/>
    <mergeCell ref="AM59:AN59"/>
    <mergeCell ref="AL60:AN60"/>
    <mergeCell ref="AF62:AO62"/>
    <mergeCell ref="C63:F63"/>
    <mergeCell ref="C64:F64"/>
    <mergeCell ref="C78:E78"/>
    <mergeCell ref="E80:F80"/>
    <mergeCell ref="C98:E98"/>
    <mergeCell ref="E84:F84"/>
    <mergeCell ref="C62:F62"/>
    <mergeCell ref="G62:R62"/>
    <mergeCell ref="S62:AD62"/>
    <mergeCell ref="E81:F81"/>
    <mergeCell ref="E82:F82"/>
    <mergeCell ref="E83:F83"/>
    <mergeCell ref="E88:F88"/>
    <mergeCell ref="E89:F89"/>
    <mergeCell ref="E90:F90"/>
    <mergeCell ref="C91:E91"/>
    <mergeCell ref="C96:E96"/>
    <mergeCell ref="D115:E115"/>
    <mergeCell ref="D116:E116"/>
    <mergeCell ref="O108:P108"/>
    <mergeCell ref="I109:N109"/>
    <mergeCell ref="O109:P109"/>
    <mergeCell ref="F111:H111"/>
    <mergeCell ref="I111:J111"/>
    <mergeCell ref="L111:M111"/>
    <mergeCell ref="D113:E113"/>
    <mergeCell ref="D114:E114"/>
    <mergeCell ref="C3:AA3"/>
    <mergeCell ref="I107:N107"/>
    <mergeCell ref="I108:N108"/>
    <mergeCell ref="I104:N104"/>
    <mergeCell ref="I105:N105"/>
    <mergeCell ref="I106:N106"/>
    <mergeCell ref="I101:N101"/>
    <mergeCell ref="O101:P101"/>
    <mergeCell ref="I102:N102"/>
    <mergeCell ref="O102:P102"/>
    <mergeCell ref="I103:N103"/>
    <mergeCell ref="O103:P103"/>
    <mergeCell ref="F101:G101"/>
    <mergeCell ref="E85:F85"/>
    <mergeCell ref="E86:F86"/>
    <mergeCell ref="E87:F87"/>
  </mergeCells>
  <conditionalFormatting sqref="G38:AH38 G40:AH40 G39:AG39 AO87:AO89 AO81:AP86 AP87:AQ90 AQ84:AR86 AR87:AR89 G30:AH35 AF80:AN80 G82:AE89 G16:AH27 AP66:AP77 G76:AO76 AQ76:AR76 G81:H81 AF82:AN90">
    <cfRule type="cellIs" dxfId="29" priority="12" operator="greaterThan">
      <formula>0</formula>
    </cfRule>
  </conditionalFormatting>
  <conditionalFormatting sqref="AG31:AH34">
    <cfRule type="cellIs" dxfId="28" priority="11" operator="greaterThan">
      <formula>0</formula>
    </cfRule>
  </conditionalFormatting>
  <conditionalFormatting sqref="AH39">
    <cfRule type="cellIs" dxfId="27" priority="10" operator="greaterThan">
      <formula>0</formula>
    </cfRule>
  </conditionalFormatting>
  <conditionalFormatting sqref="G80:AR80 G65:AR65 G66:AO68 AO94:AQ94 AO95:AR95 G94:AN95 G93:AR93">
    <cfRule type="cellIs" dxfId="26" priority="9" operator="greaterThan">
      <formula>0</formula>
    </cfRule>
  </conditionalFormatting>
  <conditionalFormatting sqref="G77:AO77">
    <cfRule type="cellIs" dxfId="25" priority="8" operator="greaterThan">
      <formula>0</formula>
    </cfRule>
  </conditionalFormatting>
  <conditionalFormatting sqref="G90:AE90 AO90">
    <cfRule type="cellIs" dxfId="24" priority="7" operator="greaterThan">
      <formula>0</formula>
    </cfRule>
  </conditionalFormatting>
  <conditionalFormatting sqref="AQ81:AR83">
    <cfRule type="cellIs" dxfId="23" priority="6" operator="greaterThan">
      <formula>0</formula>
    </cfRule>
  </conditionalFormatting>
  <conditionalFormatting sqref="AR94">
    <cfRule type="cellIs" dxfId="22" priority="5" operator="greaterThan">
      <formula>0</formula>
    </cfRule>
  </conditionalFormatting>
  <conditionalFormatting sqref="G69:AO75 AQ69:AR75">
    <cfRule type="cellIs" dxfId="21" priority="4" operator="greaterThan">
      <formula>0</formula>
    </cfRule>
  </conditionalFormatting>
  <conditionalFormatting sqref="AQ66:AR68">
    <cfRule type="cellIs" dxfId="20" priority="3" operator="greaterThan">
      <formula>0</formula>
    </cfRule>
  </conditionalFormatting>
  <conditionalFormatting sqref="I81:AN81">
    <cfRule type="cellIs" dxfId="19" priority="1" operator="greaterThan">
      <formula>0</formula>
    </cfRule>
  </conditionalFormatting>
  <pageMargins left="0.70866141732283472" right="0.70866141732283472" top="0.74803149606299213" bottom="0.74803149606299213" header="0.31496062992125984" footer="0.31496062992125984"/>
  <pageSetup paperSize="8" scale="36" fitToHeight="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BA530-8599-4E7C-A21C-0404BCC04E6B}">
  <sheetPr>
    <pageSetUpPr fitToPage="1"/>
  </sheetPr>
  <dimension ref="A1:AX113"/>
  <sheetViews>
    <sheetView view="pageBreakPreview" topLeftCell="P9" zoomScale="85" zoomScaleNormal="25" zoomScaleSheetLayoutView="85" workbookViewId="0">
      <selection activeCell="C1" sqref="C1:C2"/>
    </sheetView>
  </sheetViews>
  <sheetFormatPr baseColWidth="10" defaultColWidth="9.1640625" defaultRowHeight="15" x14ac:dyDescent="0.2"/>
  <cols>
    <col min="1" max="1" width="14.33203125" style="32" bestFit="1" customWidth="1"/>
    <col min="2" max="2" width="7.83203125" style="23" customWidth="1"/>
    <col min="3" max="3" width="9.1640625" style="22" customWidth="1"/>
    <col min="4" max="4" width="45" style="22" customWidth="1"/>
    <col min="5" max="5" width="25.33203125" style="22" bestFit="1" customWidth="1"/>
    <col min="6" max="6" width="13.33203125" style="22" customWidth="1"/>
    <col min="7" max="30" width="9.33203125" style="22" customWidth="1"/>
    <col min="31" max="31" width="9.33203125" style="22" hidden="1" customWidth="1"/>
    <col min="32" max="40" width="9.33203125" style="22" customWidth="1"/>
    <col min="41" max="41" width="9.33203125" style="22" hidden="1" customWidth="1"/>
    <col min="42" max="42" width="10.5" style="22" customWidth="1"/>
    <col min="43" max="43" width="7.1640625" style="22" customWidth="1"/>
    <col min="44" max="44" width="11.6640625" style="22" bestFit="1" customWidth="1"/>
    <col min="45" max="45" width="12.6640625" style="23" customWidth="1"/>
    <col min="46" max="50" width="9.33203125" style="23" customWidth="1"/>
    <col min="51" max="16384" width="9.1640625" style="22"/>
  </cols>
  <sheetData>
    <row r="1" spans="1:50" ht="16" x14ac:dyDescent="0.2">
      <c r="C1" s="215" t="s">
        <v>26</v>
      </c>
      <c r="D1" s="38"/>
      <c r="E1" s="68" t="s">
        <v>67</v>
      </c>
      <c r="F1" s="164">
        <v>150</v>
      </c>
      <c r="G1" s="24"/>
      <c r="H1" s="24"/>
      <c r="I1" s="24"/>
      <c r="J1" s="24"/>
      <c r="K1" s="24"/>
      <c r="O1" s="24"/>
      <c r="AR1" s="23"/>
      <c r="AX1" s="22"/>
    </row>
    <row r="2" spans="1:50" ht="16" x14ac:dyDescent="0.2">
      <c r="C2" s="216" t="s">
        <v>27</v>
      </c>
      <c r="D2" s="25"/>
      <c r="E2" s="68" t="s">
        <v>59</v>
      </c>
      <c r="F2" s="165">
        <f>F1*500000</f>
        <v>75000000</v>
      </c>
      <c r="G2" s="24"/>
      <c r="H2" s="24"/>
      <c r="I2" s="24"/>
      <c r="J2" s="24"/>
      <c r="K2" s="50"/>
      <c r="O2" s="26"/>
      <c r="P2" s="23"/>
      <c r="Q2" s="23"/>
      <c r="R2" s="23"/>
      <c r="S2" s="23"/>
      <c r="T2" s="23"/>
      <c r="U2" s="23"/>
      <c r="V2" s="23"/>
      <c r="W2" s="23"/>
      <c r="X2" s="23"/>
      <c r="Y2" s="23"/>
      <c r="Z2" s="23"/>
      <c r="AI2"/>
      <c r="AJ2"/>
      <c r="AK2"/>
      <c r="AL2"/>
      <c r="AM2"/>
      <c r="AR2" s="23"/>
      <c r="AX2" s="22"/>
    </row>
    <row r="3" spans="1:50" ht="26" x14ac:dyDescent="0.2">
      <c r="C3" s="287" t="s">
        <v>40</v>
      </c>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I3"/>
      <c r="AJ3"/>
      <c r="AK3"/>
      <c r="AL3"/>
      <c r="AM3"/>
      <c r="AR3" s="23"/>
      <c r="AX3" s="22"/>
    </row>
    <row r="4" spans="1:50" x14ac:dyDescent="0.2">
      <c r="C4" s="322" t="s">
        <v>15</v>
      </c>
      <c r="D4" s="323"/>
      <c r="E4" s="323"/>
      <c r="F4" s="323"/>
      <c r="G4" s="314" t="s">
        <v>17</v>
      </c>
      <c r="H4" s="315"/>
      <c r="I4" s="315"/>
      <c r="J4" s="315"/>
      <c r="K4" s="315"/>
      <c r="L4" s="315"/>
      <c r="M4" s="315"/>
      <c r="N4" s="315"/>
      <c r="O4" s="315"/>
      <c r="P4" s="315"/>
      <c r="Q4" s="315"/>
      <c r="R4" s="316"/>
      <c r="S4" s="126"/>
      <c r="T4" s="126"/>
      <c r="U4" s="126"/>
      <c r="V4" s="126"/>
      <c r="W4" s="126"/>
      <c r="X4" s="126"/>
      <c r="Y4" s="126"/>
      <c r="Z4" s="126"/>
      <c r="AA4" s="127"/>
      <c r="AB4" s="127"/>
      <c r="AC4" s="127"/>
      <c r="AD4" s="127"/>
      <c r="AE4" s="127"/>
      <c r="AF4" s="127"/>
      <c r="AG4" s="127"/>
      <c r="AH4" s="128"/>
      <c r="AI4"/>
      <c r="AJ4"/>
      <c r="AK4"/>
      <c r="AL4"/>
      <c r="AM4"/>
      <c r="AR4" s="23"/>
      <c r="AX4" s="22"/>
    </row>
    <row r="5" spans="1:50" x14ac:dyDescent="0.2">
      <c r="C5" s="317" t="s">
        <v>16</v>
      </c>
      <c r="D5" s="318"/>
      <c r="E5" s="318"/>
      <c r="F5" s="318"/>
      <c r="G5" s="305" t="s">
        <v>18</v>
      </c>
      <c r="H5" s="306"/>
      <c r="I5" s="306"/>
      <c r="J5" s="306"/>
      <c r="K5" s="306"/>
      <c r="L5" s="306"/>
      <c r="M5" s="306"/>
      <c r="N5" s="306"/>
      <c r="O5" s="306"/>
      <c r="P5" s="306"/>
      <c r="Q5" s="306"/>
      <c r="R5" s="306"/>
      <c r="S5" s="306"/>
      <c r="T5" s="306"/>
      <c r="U5" s="306"/>
      <c r="V5" s="306"/>
      <c r="W5" s="306"/>
      <c r="X5" s="306"/>
      <c r="Y5" s="306"/>
      <c r="Z5" s="306"/>
      <c r="AA5" s="306"/>
      <c r="AB5" s="306"/>
      <c r="AC5" s="306"/>
      <c r="AD5" s="307"/>
      <c r="AE5" s="107"/>
      <c r="AF5" s="116"/>
      <c r="AG5" s="116"/>
      <c r="AH5" s="120"/>
      <c r="AI5"/>
      <c r="AJ5"/>
      <c r="AK5"/>
      <c r="AL5"/>
      <c r="AM5"/>
      <c r="AR5" s="23"/>
      <c r="AX5" s="22"/>
    </row>
    <row r="6" spans="1:50" x14ac:dyDescent="0.2">
      <c r="C6" s="346" t="s">
        <v>45</v>
      </c>
      <c r="D6" s="347"/>
      <c r="E6" s="347"/>
      <c r="F6" s="348"/>
      <c r="G6" s="352" t="s">
        <v>46</v>
      </c>
      <c r="H6" s="353"/>
      <c r="I6" s="353"/>
      <c r="J6" s="353"/>
      <c r="K6" s="326"/>
      <c r="L6" s="116"/>
      <c r="M6" s="116"/>
      <c r="N6" s="116"/>
      <c r="O6" s="116"/>
      <c r="P6" s="116"/>
      <c r="Q6" s="116"/>
      <c r="R6" s="133"/>
      <c r="S6" s="116"/>
      <c r="T6" s="116"/>
      <c r="U6" s="116"/>
      <c r="V6" s="116"/>
      <c r="W6" s="116"/>
      <c r="X6" s="116"/>
      <c r="Y6" s="116"/>
      <c r="Z6" s="116"/>
      <c r="AA6" s="116"/>
      <c r="AB6" s="116"/>
      <c r="AC6" s="116"/>
      <c r="AD6" s="133"/>
      <c r="AE6" s="116"/>
      <c r="AF6" s="116"/>
      <c r="AG6" s="116"/>
      <c r="AH6" s="124"/>
      <c r="AI6"/>
      <c r="AJ6"/>
      <c r="AK6"/>
      <c r="AL6"/>
      <c r="AM6"/>
      <c r="AR6" s="23"/>
      <c r="AX6" s="22"/>
    </row>
    <row r="7" spans="1:50" x14ac:dyDescent="0.2">
      <c r="C7" s="349"/>
      <c r="D7" s="350"/>
      <c r="E7" s="350"/>
      <c r="F7" s="351"/>
      <c r="G7" s="343" t="s">
        <v>55</v>
      </c>
      <c r="H7" s="344"/>
      <c r="I7" s="344"/>
      <c r="J7" s="344"/>
      <c r="K7" s="344"/>
      <c r="L7" s="344"/>
      <c r="M7" s="344"/>
      <c r="N7" s="344"/>
      <c r="O7" s="344"/>
      <c r="P7" s="344"/>
      <c r="Q7" s="344"/>
      <c r="R7" s="344"/>
      <c r="S7" s="344"/>
      <c r="T7" s="344"/>
      <c r="U7" s="344"/>
      <c r="V7" s="344"/>
      <c r="W7" s="344"/>
      <c r="X7" s="344"/>
      <c r="Y7" s="344"/>
      <c r="Z7" s="344"/>
      <c r="AA7" s="344"/>
      <c r="AB7" s="344"/>
      <c r="AC7" s="344"/>
      <c r="AD7" s="345"/>
      <c r="AE7" s="116"/>
      <c r="AF7" s="116"/>
      <c r="AG7" s="116"/>
      <c r="AH7" s="124"/>
      <c r="AI7"/>
      <c r="AJ7"/>
      <c r="AK7"/>
      <c r="AL7"/>
      <c r="AM7"/>
      <c r="AR7" s="23"/>
      <c r="AX7" s="22"/>
    </row>
    <row r="8" spans="1:50" s="110" customFormat="1" x14ac:dyDescent="0.2">
      <c r="A8" s="108"/>
      <c r="B8" s="109"/>
      <c r="C8" s="349"/>
      <c r="D8" s="350"/>
      <c r="E8" s="350"/>
      <c r="F8" s="351"/>
      <c r="G8" s="116"/>
      <c r="H8" s="116"/>
      <c r="I8" s="116"/>
      <c r="J8" s="116"/>
      <c r="K8" s="354" t="s">
        <v>56</v>
      </c>
      <c r="L8" s="355"/>
      <c r="M8" s="355"/>
      <c r="N8" s="355"/>
      <c r="O8" s="355"/>
      <c r="P8" s="355"/>
      <c r="Q8" s="355"/>
      <c r="R8" s="355"/>
      <c r="S8" s="355"/>
      <c r="T8" s="355"/>
      <c r="U8" s="355"/>
      <c r="V8" s="355"/>
      <c r="W8" s="355"/>
      <c r="X8" s="355"/>
      <c r="Y8" s="355"/>
      <c r="Z8" s="355"/>
      <c r="AA8" s="355"/>
      <c r="AB8" s="355"/>
      <c r="AC8" s="355"/>
      <c r="AD8" s="356"/>
      <c r="AE8" s="116"/>
      <c r="AF8" s="116"/>
      <c r="AG8" s="116"/>
      <c r="AH8" s="124"/>
      <c r="AI8"/>
      <c r="AJ8"/>
      <c r="AK8"/>
      <c r="AL8"/>
      <c r="AM8"/>
      <c r="AR8" s="109"/>
      <c r="AS8" s="109"/>
      <c r="AT8" s="109"/>
      <c r="AU8" s="109"/>
      <c r="AV8" s="109"/>
      <c r="AW8" s="109"/>
    </row>
    <row r="9" spans="1:50" s="110" customFormat="1" x14ac:dyDescent="0.2">
      <c r="A9" s="108"/>
      <c r="B9" s="109"/>
      <c r="C9" s="349"/>
      <c r="D9" s="350"/>
      <c r="E9" s="350"/>
      <c r="F9" s="351"/>
      <c r="G9" s="116"/>
      <c r="H9" s="116"/>
      <c r="I9" s="116"/>
      <c r="J9" s="116"/>
      <c r="K9" s="130"/>
      <c r="L9" s="116"/>
      <c r="M9" s="132"/>
      <c r="N9" s="156"/>
      <c r="O9" s="156"/>
      <c r="P9" s="155"/>
      <c r="Q9" s="158" t="s">
        <v>87</v>
      </c>
      <c r="R9" s="157"/>
      <c r="S9" s="116"/>
      <c r="T9" s="116"/>
      <c r="U9" s="116"/>
      <c r="V9" s="116"/>
      <c r="W9" s="116"/>
      <c r="X9" s="116"/>
      <c r="Y9" s="116"/>
      <c r="Z9" s="116"/>
      <c r="AA9" s="116"/>
      <c r="AB9" s="116"/>
      <c r="AC9" s="116"/>
      <c r="AD9" s="134"/>
      <c r="AE9" s="116"/>
      <c r="AF9" s="116"/>
      <c r="AG9" s="116"/>
      <c r="AH9" s="124"/>
      <c r="AI9"/>
      <c r="AJ9"/>
      <c r="AK9"/>
      <c r="AL9"/>
      <c r="AM9"/>
      <c r="AR9" s="109"/>
      <c r="AS9" s="109"/>
      <c r="AT9" s="109"/>
      <c r="AU9" s="109"/>
      <c r="AV9" s="109"/>
      <c r="AW9" s="109"/>
    </row>
    <row r="10" spans="1:50" s="110" customFormat="1" x14ac:dyDescent="0.2">
      <c r="A10" s="108"/>
      <c r="B10" s="109"/>
      <c r="C10" s="349"/>
      <c r="D10" s="350"/>
      <c r="E10" s="350"/>
      <c r="F10" s="351"/>
      <c r="G10" s="116"/>
      <c r="H10" s="116"/>
      <c r="I10" s="116"/>
      <c r="J10" s="116"/>
      <c r="K10" s="130"/>
      <c r="L10" s="116"/>
      <c r="M10" s="116"/>
      <c r="N10" s="116"/>
      <c r="O10" s="116"/>
      <c r="P10" s="123"/>
      <c r="Q10" s="158"/>
      <c r="R10" s="161" t="s">
        <v>49</v>
      </c>
      <c r="S10" s="116"/>
      <c r="T10" s="116"/>
      <c r="U10" s="116"/>
      <c r="V10" s="116"/>
      <c r="W10" s="116"/>
      <c r="X10" s="116"/>
      <c r="Y10" s="116"/>
      <c r="Z10" s="116"/>
      <c r="AA10" s="116"/>
      <c r="AB10" s="116"/>
      <c r="AC10" s="116"/>
      <c r="AD10" s="134"/>
      <c r="AE10" s="116"/>
      <c r="AF10" s="116"/>
      <c r="AG10" s="116"/>
      <c r="AH10" s="124"/>
      <c r="AI10"/>
      <c r="AJ10"/>
      <c r="AK10"/>
      <c r="AL10"/>
      <c r="AM10"/>
      <c r="AR10" s="109"/>
      <c r="AS10" s="109"/>
      <c r="AT10" s="109"/>
      <c r="AU10" s="109"/>
      <c r="AV10" s="109"/>
      <c r="AW10" s="109"/>
    </row>
    <row r="11" spans="1:50" s="110" customFormat="1" ht="16" thickBot="1" x14ac:dyDescent="0.25">
      <c r="A11" s="108"/>
      <c r="B11" s="109"/>
      <c r="C11" s="349"/>
      <c r="D11" s="350"/>
      <c r="E11" s="350"/>
      <c r="F11" s="351"/>
      <c r="G11" s="116"/>
      <c r="H11" s="116"/>
      <c r="I11" s="116"/>
      <c r="J11" s="116"/>
      <c r="K11" s="130"/>
      <c r="L11" s="116"/>
      <c r="M11" s="116"/>
      <c r="N11" s="116"/>
      <c r="O11" s="116"/>
      <c r="P11" s="116"/>
      <c r="Q11" s="116"/>
      <c r="R11" s="116"/>
      <c r="S11" s="357" t="s">
        <v>57</v>
      </c>
      <c r="T11" s="358"/>
      <c r="U11" s="358"/>
      <c r="V11" s="358"/>
      <c r="W11" s="358"/>
      <c r="X11" s="358"/>
      <c r="Y11" s="358"/>
      <c r="Z11" s="358"/>
      <c r="AA11" s="358"/>
      <c r="AB11" s="358"/>
      <c r="AC11" s="358"/>
      <c r="AD11" s="359"/>
      <c r="AE11" s="116"/>
      <c r="AF11" s="116"/>
      <c r="AG11" s="116"/>
      <c r="AH11" s="124"/>
      <c r="AI11"/>
      <c r="AJ11"/>
      <c r="AK11"/>
      <c r="AL11"/>
      <c r="AM11"/>
      <c r="AR11" s="109"/>
      <c r="AS11" s="109"/>
      <c r="AT11" s="109"/>
      <c r="AU11" s="109"/>
      <c r="AV11" s="109"/>
      <c r="AW11" s="109"/>
    </row>
    <row r="12" spans="1:50" ht="46" thickBot="1" x14ac:dyDescent="0.25">
      <c r="A12" s="37" t="s">
        <v>82</v>
      </c>
      <c r="C12" s="72" t="s">
        <v>0</v>
      </c>
      <c r="D12" s="73"/>
      <c r="E12" s="73" t="s">
        <v>1</v>
      </c>
      <c r="F12" s="74"/>
      <c r="G12" s="69">
        <v>44927</v>
      </c>
      <c r="H12" s="69">
        <v>44958</v>
      </c>
      <c r="I12" s="69">
        <v>44986</v>
      </c>
      <c r="J12" s="69">
        <v>45017</v>
      </c>
      <c r="K12" s="69">
        <v>45047</v>
      </c>
      <c r="L12" s="69">
        <v>45078</v>
      </c>
      <c r="M12" s="69">
        <v>45108</v>
      </c>
      <c r="N12" s="69">
        <v>45139</v>
      </c>
      <c r="O12" s="69">
        <v>45170</v>
      </c>
      <c r="P12" s="69">
        <v>45200</v>
      </c>
      <c r="Q12" s="69">
        <v>45231</v>
      </c>
      <c r="R12" s="69">
        <v>45261</v>
      </c>
      <c r="S12" s="70">
        <v>45292</v>
      </c>
      <c r="T12" s="70">
        <v>45323</v>
      </c>
      <c r="U12" s="70">
        <v>45352</v>
      </c>
      <c r="V12" s="70">
        <v>45383</v>
      </c>
      <c r="W12" s="70">
        <v>45413</v>
      </c>
      <c r="X12" s="70">
        <v>45444</v>
      </c>
      <c r="Y12" s="70">
        <v>45474</v>
      </c>
      <c r="Z12" s="70">
        <v>45505</v>
      </c>
      <c r="AA12" s="70">
        <v>45536</v>
      </c>
      <c r="AB12" s="70">
        <v>45566</v>
      </c>
      <c r="AC12" s="70">
        <v>45597</v>
      </c>
      <c r="AD12" s="70">
        <v>45627</v>
      </c>
      <c r="AE12" s="16">
        <v>45658</v>
      </c>
      <c r="AF12" s="159" t="s">
        <v>2</v>
      </c>
      <c r="AG12" s="160" t="s">
        <v>6</v>
      </c>
      <c r="AH12" s="160" t="s">
        <v>7</v>
      </c>
      <c r="AI12"/>
      <c r="AJ12"/>
      <c r="AK12"/>
      <c r="AL12"/>
      <c r="AM12"/>
      <c r="AN12"/>
      <c r="AR12" s="23"/>
      <c r="AW12" s="22"/>
      <c r="AX12" s="22"/>
    </row>
    <row r="13" spans="1:50" s="28" customFormat="1" x14ac:dyDescent="0.2">
      <c r="A13" s="33" t="s">
        <v>32</v>
      </c>
      <c r="B13" s="23"/>
      <c r="C13" s="330" t="s">
        <v>3</v>
      </c>
      <c r="D13" s="331"/>
      <c r="E13" s="331"/>
      <c r="F13" s="331"/>
      <c r="G13" s="334">
        <v>2023</v>
      </c>
      <c r="H13" s="335"/>
      <c r="I13" s="335"/>
      <c r="J13" s="335"/>
      <c r="K13" s="335"/>
      <c r="L13" s="335"/>
      <c r="M13" s="335"/>
      <c r="N13" s="335"/>
      <c r="O13" s="335"/>
      <c r="P13" s="335"/>
      <c r="Q13" s="335"/>
      <c r="R13" s="336"/>
      <c r="S13" s="334">
        <v>2024</v>
      </c>
      <c r="T13" s="335"/>
      <c r="U13" s="335"/>
      <c r="V13" s="335"/>
      <c r="W13" s="335"/>
      <c r="X13" s="335"/>
      <c r="Y13" s="335"/>
      <c r="Z13" s="335"/>
      <c r="AA13" s="335"/>
      <c r="AB13" s="335"/>
      <c r="AC13" s="335"/>
      <c r="AD13" s="336"/>
      <c r="AE13" s="60"/>
      <c r="AF13" s="27"/>
      <c r="AG13" s="27"/>
      <c r="AH13" s="27"/>
      <c r="AI13"/>
      <c r="AJ13"/>
      <c r="AK13"/>
      <c r="AL13"/>
      <c r="AM13"/>
      <c r="AN13"/>
      <c r="AR13" s="23"/>
      <c r="AS13" s="23"/>
      <c r="AT13" s="23"/>
      <c r="AU13" s="23"/>
      <c r="AV13" s="23"/>
    </row>
    <row r="14" spans="1:50" s="28" customFormat="1" x14ac:dyDescent="0.2">
      <c r="A14" s="34"/>
      <c r="B14" s="23"/>
      <c r="C14" s="332" t="s">
        <v>4</v>
      </c>
      <c r="D14" s="333"/>
      <c r="E14" s="333"/>
      <c r="F14" s="333"/>
      <c r="G14" s="1">
        <f>(H12-G12)/7</f>
        <v>4.4285714285714288</v>
      </c>
      <c r="H14" s="2">
        <f t="shared" ref="H14:AC14" si="0">(I12-H12)/7</f>
        <v>4</v>
      </c>
      <c r="I14" s="2">
        <f t="shared" si="0"/>
        <v>4.4285714285714288</v>
      </c>
      <c r="J14" s="2">
        <f t="shared" si="0"/>
        <v>4.2857142857142856</v>
      </c>
      <c r="K14" s="2">
        <f t="shared" si="0"/>
        <v>4.4285714285714288</v>
      </c>
      <c r="L14" s="2">
        <f t="shared" si="0"/>
        <v>4.2857142857142856</v>
      </c>
      <c r="M14" s="2">
        <f t="shared" si="0"/>
        <v>4.4285714285714288</v>
      </c>
      <c r="N14" s="2">
        <f t="shared" si="0"/>
        <v>4.4285714285714288</v>
      </c>
      <c r="O14" s="2">
        <f t="shared" si="0"/>
        <v>4.2857142857142856</v>
      </c>
      <c r="P14" s="2">
        <f t="shared" si="0"/>
        <v>4.4285714285714288</v>
      </c>
      <c r="Q14" s="2">
        <f t="shared" si="0"/>
        <v>4.2857142857142856</v>
      </c>
      <c r="R14" s="3">
        <f t="shared" si="0"/>
        <v>4.4285714285714288</v>
      </c>
      <c r="S14" s="1">
        <f t="shared" si="0"/>
        <v>4.4285714285714288</v>
      </c>
      <c r="T14" s="2">
        <f t="shared" si="0"/>
        <v>4.1428571428571432</v>
      </c>
      <c r="U14" s="2">
        <f t="shared" si="0"/>
        <v>4.4285714285714288</v>
      </c>
      <c r="V14" s="2">
        <f t="shared" si="0"/>
        <v>4.2857142857142856</v>
      </c>
      <c r="W14" s="2">
        <f t="shared" si="0"/>
        <v>4.4285714285714288</v>
      </c>
      <c r="X14" s="2">
        <f t="shared" si="0"/>
        <v>4.2857142857142856</v>
      </c>
      <c r="Y14" s="2">
        <f t="shared" si="0"/>
        <v>4.4285714285714288</v>
      </c>
      <c r="Z14" s="2">
        <f t="shared" si="0"/>
        <v>4.4285714285714288</v>
      </c>
      <c r="AA14" s="2">
        <f t="shared" si="0"/>
        <v>4.2857142857142856</v>
      </c>
      <c r="AB14" s="2">
        <f t="shared" si="0"/>
        <v>4.4285714285714288</v>
      </c>
      <c r="AC14" s="2">
        <f t="shared" si="0"/>
        <v>4.2857142857142856</v>
      </c>
      <c r="AD14" s="3">
        <f>(AE12-AD12)/7</f>
        <v>4.4285714285714288</v>
      </c>
      <c r="AE14" s="59"/>
      <c r="AF14" s="4"/>
      <c r="AG14" s="4"/>
      <c r="AH14" s="4"/>
      <c r="AI14"/>
      <c r="AJ14"/>
      <c r="AK14"/>
      <c r="AL14"/>
      <c r="AM14"/>
      <c r="AN14"/>
      <c r="AR14" s="23"/>
      <c r="AS14" s="23"/>
      <c r="AT14" s="23"/>
      <c r="AU14" s="23"/>
      <c r="AV14" s="23"/>
    </row>
    <row r="15" spans="1:50" s="28" customFormat="1" x14ac:dyDescent="0.2">
      <c r="A15" s="34"/>
      <c r="B15" s="23"/>
      <c r="C15" s="332" t="s">
        <v>5</v>
      </c>
      <c r="D15" s="333"/>
      <c r="E15" s="333"/>
      <c r="F15" s="333"/>
      <c r="G15" s="1">
        <v>1</v>
      </c>
      <c r="H15" s="2">
        <f t="shared" ref="H15:X15" si="1">G15</f>
        <v>1</v>
      </c>
      <c r="I15" s="2">
        <f t="shared" si="1"/>
        <v>1</v>
      </c>
      <c r="J15" s="2">
        <f t="shared" si="1"/>
        <v>1</v>
      </c>
      <c r="K15" s="2">
        <f t="shared" si="1"/>
        <v>1</v>
      </c>
      <c r="L15" s="2">
        <f t="shared" si="1"/>
        <v>1</v>
      </c>
      <c r="M15" s="2">
        <v>1.05</v>
      </c>
      <c r="N15" s="2">
        <f t="shared" si="1"/>
        <v>1.05</v>
      </c>
      <c r="O15" s="2">
        <f t="shared" si="1"/>
        <v>1.05</v>
      </c>
      <c r="P15" s="2">
        <f t="shared" si="1"/>
        <v>1.05</v>
      </c>
      <c r="Q15" s="2">
        <f t="shared" si="1"/>
        <v>1.05</v>
      </c>
      <c r="R15" s="3">
        <f t="shared" si="1"/>
        <v>1.05</v>
      </c>
      <c r="S15" s="1">
        <f t="shared" si="1"/>
        <v>1.05</v>
      </c>
      <c r="T15" s="2">
        <f t="shared" si="1"/>
        <v>1.05</v>
      </c>
      <c r="U15" s="2">
        <f t="shared" si="1"/>
        <v>1.05</v>
      </c>
      <c r="V15" s="2">
        <f t="shared" si="1"/>
        <v>1.05</v>
      </c>
      <c r="W15" s="2">
        <f t="shared" si="1"/>
        <v>1.05</v>
      </c>
      <c r="X15" s="2">
        <f t="shared" si="1"/>
        <v>1.05</v>
      </c>
      <c r="Y15" s="2">
        <f>X15*1.05</f>
        <v>1.1025</v>
      </c>
      <c r="Z15" s="2">
        <f t="shared" ref="Z15" si="2">Y15</f>
        <v>1.1025</v>
      </c>
      <c r="AA15" s="2">
        <f>Z15</f>
        <v>1.1025</v>
      </c>
      <c r="AB15" s="2">
        <f>AA15</f>
        <v>1.1025</v>
      </c>
      <c r="AC15" s="2">
        <f>AB15</f>
        <v>1.1025</v>
      </c>
      <c r="AD15" s="3">
        <f>AC15</f>
        <v>1.1025</v>
      </c>
      <c r="AE15" s="111"/>
      <c r="AF15" s="4"/>
      <c r="AG15" s="4"/>
      <c r="AH15" s="4"/>
      <c r="AI15"/>
      <c r="AJ15"/>
      <c r="AK15"/>
      <c r="AL15"/>
      <c r="AM15"/>
      <c r="AN15"/>
      <c r="AR15" s="23"/>
      <c r="AS15" s="23"/>
      <c r="AT15" s="23"/>
      <c r="AU15" s="23"/>
      <c r="AV15" s="23"/>
    </row>
    <row r="16" spans="1:50" x14ac:dyDescent="0.2">
      <c r="A16" s="34"/>
      <c r="C16" s="29" t="s">
        <v>37</v>
      </c>
      <c r="D16" s="21"/>
      <c r="E16" s="61" t="s">
        <v>80</v>
      </c>
      <c r="F16" s="12"/>
      <c r="G16" s="5"/>
      <c r="H16" s="6"/>
      <c r="I16" s="6"/>
      <c r="J16" s="6"/>
      <c r="K16" s="6"/>
      <c r="L16" s="6"/>
      <c r="M16" s="6"/>
      <c r="N16" s="6"/>
      <c r="O16" s="6"/>
      <c r="P16" s="6"/>
      <c r="Q16" s="6"/>
      <c r="R16" s="15"/>
      <c r="S16" s="5"/>
      <c r="T16" s="6"/>
      <c r="U16" s="6"/>
      <c r="V16" s="6"/>
      <c r="W16" s="6"/>
      <c r="X16" s="6"/>
      <c r="Y16" s="6"/>
      <c r="Z16" s="6"/>
      <c r="AA16" s="6"/>
      <c r="AB16" s="6"/>
      <c r="AC16" s="6"/>
      <c r="AD16" s="7"/>
      <c r="AE16" s="13"/>
      <c r="AF16" s="8"/>
      <c r="AG16" s="8"/>
      <c r="AH16" s="8"/>
      <c r="AI16"/>
      <c r="AJ16"/>
      <c r="AK16"/>
      <c r="AL16"/>
      <c r="AM16"/>
      <c r="AN16"/>
      <c r="AR16" s="23"/>
      <c r="AW16" s="22"/>
      <c r="AX16" s="22"/>
    </row>
    <row r="17" spans="1:50" x14ac:dyDescent="0.2">
      <c r="A17" s="35">
        <v>10876.281755196305</v>
      </c>
      <c r="C17" s="53"/>
      <c r="D17" s="58" t="s">
        <v>14</v>
      </c>
      <c r="E17" s="71">
        <f t="shared" ref="E17:E25" si="3">A17*0.8</f>
        <v>8701.0254041570442</v>
      </c>
      <c r="F17" s="54"/>
      <c r="G17" s="63"/>
      <c r="H17" s="41"/>
      <c r="I17" s="41"/>
      <c r="J17" s="41"/>
      <c r="K17" s="41"/>
      <c r="L17" s="41"/>
      <c r="M17" s="41"/>
      <c r="N17" s="41"/>
      <c r="O17" s="41"/>
      <c r="P17" s="41"/>
      <c r="Q17" s="41"/>
      <c r="R17" s="75"/>
      <c r="S17" s="42"/>
      <c r="T17" s="41"/>
      <c r="U17" s="41"/>
      <c r="V17" s="41"/>
      <c r="W17" s="41"/>
      <c r="X17" s="41"/>
      <c r="Y17" s="41"/>
      <c r="Z17" s="41"/>
      <c r="AA17" s="41"/>
      <c r="AB17" s="41"/>
      <c r="AC17" s="41"/>
      <c r="AD17" s="41"/>
      <c r="AE17" s="112"/>
      <c r="AF17" s="30"/>
      <c r="AG17" s="57"/>
      <c r="AH17" s="30"/>
      <c r="AI17"/>
      <c r="AJ17"/>
      <c r="AK17"/>
      <c r="AL17"/>
      <c r="AM17"/>
      <c r="AN17"/>
      <c r="AR17" s="23"/>
      <c r="AW17" s="22"/>
      <c r="AX17" s="22"/>
    </row>
    <row r="18" spans="1:50" x14ac:dyDescent="0.2">
      <c r="A18" s="35">
        <v>9887.5288683602776</v>
      </c>
      <c r="C18" s="53"/>
      <c r="D18" s="58" t="s">
        <v>12</v>
      </c>
      <c r="E18" s="71">
        <f t="shared" si="3"/>
        <v>7910.023094688222</v>
      </c>
      <c r="F18" s="54"/>
      <c r="G18" s="63"/>
      <c r="H18" s="41"/>
      <c r="I18" s="41"/>
      <c r="J18" s="41"/>
      <c r="K18" s="41"/>
      <c r="L18" s="41"/>
      <c r="M18" s="41"/>
      <c r="N18" s="41"/>
      <c r="O18" s="41"/>
      <c r="P18" s="41"/>
      <c r="Q18" s="41"/>
      <c r="R18" s="76"/>
      <c r="S18" s="42"/>
      <c r="T18" s="41"/>
      <c r="U18" s="41"/>
      <c r="V18" s="41"/>
      <c r="W18" s="41"/>
      <c r="X18" s="41"/>
      <c r="Y18" s="41"/>
      <c r="Z18" s="41"/>
      <c r="AA18" s="41"/>
      <c r="AB18" s="41"/>
      <c r="AC18" s="41"/>
      <c r="AD18" s="41"/>
      <c r="AE18" s="112"/>
      <c r="AF18" s="30"/>
      <c r="AG18" s="57"/>
      <c r="AH18" s="30"/>
      <c r="AI18"/>
      <c r="AJ18"/>
      <c r="AK18"/>
      <c r="AL18"/>
      <c r="AM18"/>
      <c r="AN18"/>
      <c r="AR18" s="23"/>
      <c r="AW18" s="22"/>
      <c r="AX18" s="22"/>
    </row>
    <row r="19" spans="1:50" x14ac:dyDescent="0.2">
      <c r="A19" s="35">
        <v>6464.8960739030026</v>
      </c>
      <c r="C19" s="53"/>
      <c r="D19" s="58" t="s">
        <v>11</v>
      </c>
      <c r="E19" s="71">
        <f t="shared" si="3"/>
        <v>5171.9168591224025</v>
      </c>
      <c r="F19" s="54"/>
      <c r="G19" s="63"/>
      <c r="H19" s="41"/>
      <c r="I19" s="41"/>
      <c r="J19" s="41"/>
      <c r="K19" s="41"/>
      <c r="L19" s="41"/>
      <c r="M19" s="41"/>
      <c r="N19" s="41"/>
      <c r="O19" s="41"/>
      <c r="P19" s="41"/>
      <c r="Q19" s="41"/>
      <c r="R19" s="76">
        <v>0.02</v>
      </c>
      <c r="S19" s="42"/>
      <c r="T19" s="41"/>
      <c r="U19" s="41"/>
      <c r="V19" s="41"/>
      <c r="W19" s="41"/>
      <c r="X19" s="41"/>
      <c r="Y19" s="41"/>
      <c r="Z19" s="41"/>
      <c r="AA19" s="41"/>
      <c r="AB19" s="41"/>
      <c r="AC19" s="41"/>
      <c r="AD19" s="41"/>
      <c r="AE19" s="112"/>
      <c r="AF19" s="30">
        <f>SUMPRODUCT(G19:AD19,$G$14:$AD$14,$G$15:$AD$15)*(E19)</f>
        <v>480.98826789838347</v>
      </c>
      <c r="AG19" s="57">
        <f t="shared" ref="AG19:AG25" si="4">COUNT(G19:AD19)</f>
        <v>1</v>
      </c>
      <c r="AH19" s="30">
        <f t="shared" ref="AH19:AH25" si="5">AF19/AG19</f>
        <v>480.98826789838347</v>
      </c>
      <c r="AI19"/>
      <c r="AJ19"/>
      <c r="AK19"/>
      <c r="AL19"/>
      <c r="AM19"/>
      <c r="AN19"/>
      <c r="AR19" s="23"/>
      <c r="AW19" s="22"/>
      <c r="AX19" s="22"/>
    </row>
    <row r="20" spans="1:50" x14ac:dyDescent="0.2">
      <c r="A20" s="35">
        <v>5391.6859122401847</v>
      </c>
      <c r="C20" s="53"/>
      <c r="D20" s="58" t="s">
        <v>8</v>
      </c>
      <c r="E20" s="71">
        <f t="shared" si="3"/>
        <v>4313.3487297921483</v>
      </c>
      <c r="F20" s="54"/>
      <c r="G20" s="63">
        <v>0.1</v>
      </c>
      <c r="H20" s="41"/>
      <c r="I20" s="41"/>
      <c r="J20" s="41"/>
      <c r="K20" s="41"/>
      <c r="L20" s="41"/>
      <c r="M20" s="41"/>
      <c r="N20" s="41"/>
      <c r="O20" s="41"/>
      <c r="P20" s="41"/>
      <c r="Q20" s="41"/>
      <c r="R20" s="76"/>
      <c r="S20" s="42"/>
      <c r="T20" s="41"/>
      <c r="U20" s="41"/>
      <c r="V20" s="41"/>
      <c r="W20" s="41"/>
      <c r="X20" s="41"/>
      <c r="Y20" s="41"/>
      <c r="Z20" s="41"/>
      <c r="AA20" s="41"/>
      <c r="AB20" s="41"/>
      <c r="AC20" s="41"/>
      <c r="AD20" s="41"/>
      <c r="AE20" s="112"/>
      <c r="AF20" s="30">
        <f>SUMPRODUCT(G20:AD20,$G$14:$AD$14,$G$15:$AD$15)*(E20)</f>
        <v>1910.1972946222372</v>
      </c>
      <c r="AG20" s="57">
        <f t="shared" si="4"/>
        <v>1</v>
      </c>
      <c r="AH20" s="30">
        <f t="shared" si="5"/>
        <v>1910.1972946222372</v>
      </c>
      <c r="AI20"/>
      <c r="AJ20"/>
      <c r="AK20"/>
      <c r="AL20"/>
      <c r="AM20"/>
      <c r="AN20"/>
      <c r="AR20" s="23"/>
      <c r="AW20" s="22"/>
      <c r="AX20" s="22"/>
    </row>
    <row r="21" spans="1:50" x14ac:dyDescent="0.2">
      <c r="A21" s="35">
        <v>5391.6859122401847</v>
      </c>
      <c r="C21" s="53"/>
      <c r="D21" s="58" t="s">
        <v>9</v>
      </c>
      <c r="E21" s="71">
        <f t="shared" si="3"/>
        <v>4313.3487297921483</v>
      </c>
      <c r="F21" s="54"/>
      <c r="G21" s="63"/>
      <c r="H21" s="41"/>
      <c r="I21" s="41"/>
      <c r="J21" s="41"/>
      <c r="K21" s="41"/>
      <c r="L21" s="41"/>
      <c r="M21" s="41"/>
      <c r="N21" s="41"/>
      <c r="O21" s="41"/>
      <c r="P21" s="41"/>
      <c r="Q21" s="41"/>
      <c r="R21" s="76"/>
      <c r="S21" s="42"/>
      <c r="T21" s="41"/>
      <c r="U21" s="41"/>
      <c r="V21" s="41"/>
      <c r="W21" s="41"/>
      <c r="X21" s="41"/>
      <c r="Y21" s="41"/>
      <c r="Z21" s="41"/>
      <c r="AA21" s="41"/>
      <c r="AB21" s="41"/>
      <c r="AC21" s="41"/>
      <c r="AD21" s="41"/>
      <c r="AE21" s="112"/>
      <c r="AF21" s="30"/>
      <c r="AG21" s="57"/>
      <c r="AH21" s="30"/>
      <c r="AI21"/>
      <c r="AJ21"/>
      <c r="AK21"/>
      <c r="AL21"/>
      <c r="AM21"/>
      <c r="AN21"/>
      <c r="AR21" s="23"/>
      <c r="AW21" s="22"/>
      <c r="AX21" s="22"/>
    </row>
    <row r="22" spans="1:50" x14ac:dyDescent="0.2">
      <c r="A22" s="35">
        <v>3004.1570438799076</v>
      </c>
      <c r="C22" s="53"/>
      <c r="D22" s="58" t="s">
        <v>10</v>
      </c>
      <c r="E22" s="71">
        <f t="shared" si="3"/>
        <v>2403.3256351039263</v>
      </c>
      <c r="F22" s="54"/>
      <c r="G22" s="63"/>
      <c r="H22" s="41"/>
      <c r="I22" s="41"/>
      <c r="J22" s="41"/>
      <c r="K22" s="41"/>
      <c r="L22" s="41"/>
      <c r="M22" s="41"/>
      <c r="N22" s="41"/>
      <c r="O22" s="41"/>
      <c r="P22" s="41"/>
      <c r="Q22" s="41"/>
      <c r="R22" s="76"/>
      <c r="S22" s="42"/>
      <c r="T22" s="41"/>
      <c r="U22" s="41"/>
      <c r="V22" s="41"/>
      <c r="W22" s="41"/>
      <c r="X22" s="41"/>
      <c r="Y22" s="41"/>
      <c r="Z22" s="41"/>
      <c r="AA22" s="41"/>
      <c r="AB22" s="41"/>
      <c r="AC22" s="41"/>
      <c r="AD22" s="41"/>
      <c r="AE22" s="112"/>
      <c r="AF22" s="30"/>
      <c r="AG22" s="57"/>
      <c r="AH22" s="30"/>
      <c r="AI22"/>
      <c r="AJ22"/>
      <c r="AK22"/>
      <c r="AL22"/>
      <c r="AM22"/>
      <c r="AN22"/>
      <c r="AR22" s="23"/>
      <c r="AW22" s="22"/>
      <c r="AX22" s="22"/>
    </row>
    <row r="23" spans="1:50" x14ac:dyDescent="0.2">
      <c r="A23" s="35">
        <v>5057.7367205542723</v>
      </c>
      <c r="C23" s="53"/>
      <c r="D23" s="58" t="s">
        <v>29</v>
      </c>
      <c r="E23" s="71">
        <f t="shared" si="3"/>
        <v>4046.189376443418</v>
      </c>
      <c r="F23" s="54"/>
      <c r="G23" s="63"/>
      <c r="H23" s="41"/>
      <c r="I23" s="41"/>
      <c r="J23" s="41"/>
      <c r="K23" s="41"/>
      <c r="L23" s="41"/>
      <c r="M23" s="41"/>
      <c r="N23" s="41"/>
      <c r="O23" s="41"/>
      <c r="P23" s="41"/>
      <c r="Q23" s="41"/>
      <c r="R23" s="76"/>
      <c r="S23" s="42"/>
      <c r="T23" s="41"/>
      <c r="U23" s="41"/>
      <c r="V23" s="41"/>
      <c r="W23" s="41"/>
      <c r="X23" s="41"/>
      <c r="Y23" s="41"/>
      <c r="Z23" s="41"/>
      <c r="AA23" s="41"/>
      <c r="AB23" s="41"/>
      <c r="AC23" s="41"/>
      <c r="AD23" s="41"/>
      <c r="AE23" s="112"/>
      <c r="AF23" s="30"/>
      <c r="AG23" s="57"/>
      <c r="AH23" s="30"/>
      <c r="AI23"/>
      <c r="AJ23"/>
      <c r="AK23"/>
      <c r="AL23"/>
      <c r="AM23"/>
      <c r="AN23"/>
      <c r="AR23" s="23"/>
      <c r="AW23" s="22"/>
      <c r="AX23" s="22"/>
    </row>
    <row r="24" spans="1:50" x14ac:dyDescent="0.2">
      <c r="A24" s="35">
        <v>4183.1408775981527</v>
      </c>
      <c r="C24" s="53"/>
      <c r="D24" s="58" t="s">
        <v>30</v>
      </c>
      <c r="E24" s="71">
        <f t="shared" si="3"/>
        <v>3346.5127020785221</v>
      </c>
      <c r="F24" s="54"/>
      <c r="G24" s="63">
        <v>1</v>
      </c>
      <c r="H24" s="41">
        <v>0.75</v>
      </c>
      <c r="I24" s="41">
        <v>0.75</v>
      </c>
      <c r="J24" s="41">
        <v>0.5</v>
      </c>
      <c r="K24" s="41">
        <v>0.5</v>
      </c>
      <c r="L24" s="41">
        <v>0.5</v>
      </c>
      <c r="M24" s="41">
        <v>0.25</v>
      </c>
      <c r="N24" s="41">
        <v>0.25</v>
      </c>
      <c r="O24" s="41">
        <v>0.25</v>
      </c>
      <c r="P24" s="41">
        <v>0.25</v>
      </c>
      <c r="Q24" s="41">
        <v>0.25</v>
      </c>
      <c r="R24" s="76">
        <v>0.4</v>
      </c>
      <c r="S24" s="42">
        <v>0.1</v>
      </c>
      <c r="T24" s="41">
        <v>0.1</v>
      </c>
      <c r="U24" s="41">
        <v>0.1</v>
      </c>
      <c r="V24" s="41">
        <v>0.1</v>
      </c>
      <c r="W24" s="41">
        <v>0.1</v>
      </c>
      <c r="X24" s="41">
        <v>0.1</v>
      </c>
      <c r="Y24" s="41">
        <v>0.1</v>
      </c>
      <c r="Z24" s="41">
        <v>0.1</v>
      </c>
      <c r="AA24" s="41">
        <v>0.1</v>
      </c>
      <c r="AB24" s="41">
        <v>0.05</v>
      </c>
      <c r="AC24" s="41">
        <v>0.05</v>
      </c>
      <c r="AD24" s="41">
        <v>0.05</v>
      </c>
      <c r="AE24" s="112"/>
      <c r="AF24" s="30">
        <f>SUMPRODUCT(G24:AD24,$G$14:$AD$14,$G$15:$AD$15)*(E24)</f>
        <v>99562.099399538114</v>
      </c>
      <c r="AG24" s="57">
        <f t="shared" si="4"/>
        <v>24</v>
      </c>
      <c r="AH24" s="30">
        <f t="shared" si="5"/>
        <v>4148.4208083140884</v>
      </c>
      <c r="AI24"/>
      <c r="AJ24"/>
      <c r="AK24"/>
      <c r="AL24"/>
      <c r="AM24"/>
      <c r="AN24"/>
      <c r="AR24" s="23"/>
      <c r="AW24" s="22"/>
      <c r="AX24" s="22"/>
    </row>
    <row r="25" spans="1:50" x14ac:dyDescent="0.2">
      <c r="A25" s="35">
        <v>4800</v>
      </c>
      <c r="C25" s="53"/>
      <c r="D25" s="58" t="s">
        <v>31</v>
      </c>
      <c r="E25" s="71">
        <f t="shared" si="3"/>
        <v>3840</v>
      </c>
      <c r="F25" s="54"/>
      <c r="G25" s="63">
        <v>1</v>
      </c>
      <c r="H25" s="41">
        <v>1</v>
      </c>
      <c r="I25" s="41">
        <v>1</v>
      </c>
      <c r="J25" s="41">
        <v>1</v>
      </c>
      <c r="K25" s="41">
        <v>0.5</v>
      </c>
      <c r="L25" s="41">
        <v>0.5</v>
      </c>
      <c r="M25" s="41">
        <v>0.25</v>
      </c>
      <c r="N25" s="41">
        <v>0.25</v>
      </c>
      <c r="O25" s="41">
        <v>0.25</v>
      </c>
      <c r="P25" s="41">
        <v>0.25</v>
      </c>
      <c r="Q25" s="41">
        <v>0.25</v>
      </c>
      <c r="R25" s="76">
        <v>0.4</v>
      </c>
      <c r="S25" s="42"/>
      <c r="T25" s="41"/>
      <c r="U25" s="41"/>
      <c r="V25" s="41"/>
      <c r="W25" s="41"/>
      <c r="X25" s="41"/>
      <c r="Y25" s="41"/>
      <c r="Z25" s="41"/>
      <c r="AA25" s="41"/>
      <c r="AB25" s="41"/>
      <c r="AC25" s="41"/>
      <c r="AD25" s="41"/>
      <c r="AE25" s="112"/>
      <c r="AF25" s="30">
        <f>SUMPRODUCT(G25:AD25,$G$14:$AD$14,$G$15:$AD$15)*(E25)</f>
        <v>111734.40000000001</v>
      </c>
      <c r="AG25" s="57">
        <f t="shared" si="4"/>
        <v>12</v>
      </c>
      <c r="AH25" s="30">
        <f t="shared" si="5"/>
        <v>9311.2000000000007</v>
      </c>
      <c r="AI25"/>
      <c r="AJ25"/>
      <c r="AK25"/>
      <c r="AL25"/>
      <c r="AM25"/>
      <c r="AN25"/>
      <c r="AR25" s="23"/>
      <c r="AW25" s="22"/>
      <c r="AX25" s="22"/>
    </row>
    <row r="26" spans="1:50" ht="16" thickBot="1" x14ac:dyDescent="0.25">
      <c r="A26" s="35"/>
      <c r="C26" s="53"/>
      <c r="D26" s="58"/>
      <c r="E26" s="71"/>
      <c r="F26" s="54"/>
      <c r="G26" s="63"/>
      <c r="H26" s="41"/>
      <c r="I26" s="41"/>
      <c r="J26" s="41"/>
      <c r="K26" s="41"/>
      <c r="L26" s="41"/>
      <c r="M26" s="41"/>
      <c r="N26" s="41"/>
      <c r="O26" s="41"/>
      <c r="P26" s="41"/>
      <c r="Q26" s="41"/>
      <c r="R26" s="76"/>
      <c r="S26" s="42"/>
      <c r="T26" s="41"/>
      <c r="U26" s="41"/>
      <c r="V26" s="41"/>
      <c r="W26" s="41"/>
      <c r="X26" s="41"/>
      <c r="Y26" s="41"/>
      <c r="Z26" s="41"/>
      <c r="AA26" s="41"/>
      <c r="AB26" s="41"/>
      <c r="AC26" s="41"/>
      <c r="AD26" s="41"/>
      <c r="AE26" s="112"/>
      <c r="AF26" s="56"/>
      <c r="AG26" s="57"/>
      <c r="AH26" s="56"/>
      <c r="AI26"/>
      <c r="AJ26"/>
      <c r="AK26"/>
      <c r="AL26"/>
      <c r="AM26"/>
      <c r="AN26"/>
      <c r="AR26" s="23"/>
      <c r="AW26" s="22"/>
      <c r="AX26" s="22"/>
    </row>
    <row r="27" spans="1:50" ht="16" thickBot="1" x14ac:dyDescent="0.25">
      <c r="A27" s="36"/>
      <c r="C27" s="327" t="s">
        <v>36</v>
      </c>
      <c r="D27" s="328"/>
      <c r="E27" s="329"/>
      <c r="F27" s="20"/>
      <c r="G27" s="11">
        <f t="shared" ref="G27:AD27" si="6">SUMPRODUCT(($A$17:$A$26),(G17:G26))*(G14)*(G15)</f>
        <v>42170.227647641048</v>
      </c>
      <c r="H27" s="98">
        <f t="shared" si="6"/>
        <v>31749.422632794456</v>
      </c>
      <c r="I27" s="98">
        <f t="shared" si="6"/>
        <v>35151.146486308149</v>
      </c>
      <c r="J27" s="98">
        <f t="shared" si="6"/>
        <v>29535.301880567469</v>
      </c>
      <c r="K27" s="98">
        <f t="shared" si="6"/>
        <v>19891.240514681624</v>
      </c>
      <c r="L27" s="98">
        <f t="shared" si="6"/>
        <v>19249.587594853183</v>
      </c>
      <c r="M27" s="98">
        <f t="shared" si="6"/>
        <v>10442.901270207853</v>
      </c>
      <c r="N27" s="98">
        <f t="shared" si="6"/>
        <v>10442.901270207853</v>
      </c>
      <c r="O27" s="98">
        <f t="shared" si="6"/>
        <v>10106.033487297922</v>
      </c>
      <c r="P27" s="98">
        <f t="shared" si="6"/>
        <v>10442.901270207853</v>
      </c>
      <c r="Q27" s="98">
        <f t="shared" si="6"/>
        <v>10106.033487297922</v>
      </c>
      <c r="R27" s="99">
        <f t="shared" si="6"/>
        <v>17309.877367205543</v>
      </c>
      <c r="S27" s="11">
        <f t="shared" si="6"/>
        <v>1945.1605080831412</v>
      </c>
      <c r="T27" s="9">
        <f t="shared" si="6"/>
        <v>1819.6662817551967</v>
      </c>
      <c r="U27" s="9">
        <f t="shared" si="6"/>
        <v>1945.1605080831412</v>
      </c>
      <c r="V27" s="9">
        <f t="shared" si="6"/>
        <v>1882.4133949191687</v>
      </c>
      <c r="W27" s="9">
        <f t="shared" si="6"/>
        <v>1945.1605080831412</v>
      </c>
      <c r="X27" s="9">
        <f t="shared" si="6"/>
        <v>1882.4133949191687</v>
      </c>
      <c r="Y27" s="9">
        <f t="shared" si="6"/>
        <v>2042.4185334872982</v>
      </c>
      <c r="Z27" s="9">
        <f t="shared" si="6"/>
        <v>2042.4185334872982</v>
      </c>
      <c r="AA27" s="9">
        <f t="shared" si="6"/>
        <v>1976.5340646651273</v>
      </c>
      <c r="AB27" s="9">
        <f t="shared" si="6"/>
        <v>1021.2092667436491</v>
      </c>
      <c r="AC27" s="9">
        <f t="shared" si="6"/>
        <v>988.26703233256364</v>
      </c>
      <c r="AD27" s="10">
        <f t="shared" si="6"/>
        <v>1021.2092667436491</v>
      </c>
      <c r="AE27" s="14"/>
      <c r="AF27" s="19">
        <f>SUM(G27:AD27)</f>
        <v>267109.6062025734</v>
      </c>
      <c r="AG27" s="106">
        <f>COUNT(G27:AD27)</f>
        <v>24</v>
      </c>
      <c r="AH27" s="18">
        <f>AF27/AG27</f>
        <v>11129.566925107225</v>
      </c>
      <c r="AI27"/>
      <c r="AJ27" s="162"/>
      <c r="AL27"/>
      <c r="AM27"/>
      <c r="AN27"/>
      <c r="AR27" s="23"/>
      <c r="AW27" s="22"/>
      <c r="AX27" s="22"/>
    </row>
    <row r="28" spans="1:50" customFormat="1" ht="6" customHeight="1" thickBot="1" x14ac:dyDescent="0.25">
      <c r="AO28" s="22"/>
      <c r="AP28" s="22"/>
      <c r="AQ28" s="22"/>
    </row>
    <row r="29" spans="1:50" x14ac:dyDescent="0.2">
      <c r="A29" s="34"/>
      <c r="C29" s="86" t="s">
        <v>33</v>
      </c>
      <c r="D29" s="87"/>
      <c r="E29" s="88"/>
      <c r="F29" s="89"/>
      <c r="G29" s="90"/>
      <c r="H29" s="91"/>
      <c r="I29" s="91"/>
      <c r="J29" s="91"/>
      <c r="K29" s="91"/>
      <c r="L29" s="91"/>
      <c r="M29" s="91"/>
      <c r="N29" s="91"/>
      <c r="O29" s="91"/>
      <c r="P29" s="91"/>
      <c r="Q29" s="91"/>
      <c r="R29" s="92"/>
      <c r="S29" s="90"/>
      <c r="T29" s="91"/>
      <c r="U29" s="91"/>
      <c r="V29" s="91"/>
      <c r="W29" s="91"/>
      <c r="X29" s="91"/>
      <c r="Y29" s="91"/>
      <c r="Z29" s="91"/>
      <c r="AA29" s="91"/>
      <c r="AB29" s="91"/>
      <c r="AC29" s="91"/>
      <c r="AD29" s="93"/>
      <c r="AE29" s="94"/>
      <c r="AF29" s="95"/>
      <c r="AG29" s="95"/>
      <c r="AH29" s="95"/>
      <c r="AI29"/>
      <c r="AJ29"/>
      <c r="AK29"/>
      <c r="AL29"/>
      <c r="AM29"/>
      <c r="AN29"/>
      <c r="AR29" s="23"/>
      <c r="AW29" s="22"/>
      <c r="AX29" s="22"/>
    </row>
    <row r="30" spans="1:50" x14ac:dyDescent="0.2">
      <c r="A30" s="35">
        <f>$F$2*0.00001</f>
        <v>750.00000000000011</v>
      </c>
      <c r="C30" s="53"/>
      <c r="D30" s="58" t="s">
        <v>20</v>
      </c>
      <c r="E30" s="62"/>
      <c r="F30" s="167"/>
      <c r="G30" s="77"/>
      <c r="H30" s="78"/>
      <c r="I30" s="78">
        <f>$A$30*0.8</f>
        <v>600.00000000000011</v>
      </c>
      <c r="J30" s="78">
        <f t="shared" ref="J30:L30" si="7">$A$30*0.8</f>
        <v>600.00000000000011</v>
      </c>
      <c r="K30" s="78">
        <f t="shared" si="7"/>
        <v>600.00000000000011</v>
      </c>
      <c r="L30" s="78">
        <f t="shared" si="7"/>
        <v>600.00000000000011</v>
      </c>
      <c r="M30" s="78">
        <f>$A$30*0.6</f>
        <v>450.00000000000006</v>
      </c>
      <c r="N30" s="78">
        <f t="shared" ref="N30:O30" si="8">$A$30*0.6</f>
        <v>450.00000000000006</v>
      </c>
      <c r="O30" s="78">
        <f t="shared" si="8"/>
        <v>450.00000000000006</v>
      </c>
      <c r="P30" s="78">
        <f>$A$30*0.4</f>
        <v>300.00000000000006</v>
      </c>
      <c r="Q30" s="78">
        <f>$A$30*0.4</f>
        <v>300.00000000000006</v>
      </c>
      <c r="R30" s="168">
        <f>$A$30*0.8</f>
        <v>600.00000000000011</v>
      </c>
      <c r="S30" s="80">
        <f t="shared" ref="S30:AD30" si="9">$A$30*0.4</f>
        <v>300.00000000000006</v>
      </c>
      <c r="T30" s="78">
        <f t="shared" si="9"/>
        <v>300.00000000000006</v>
      </c>
      <c r="U30" s="78">
        <f t="shared" si="9"/>
        <v>300.00000000000006</v>
      </c>
      <c r="V30" s="78">
        <f t="shared" si="9"/>
        <v>300.00000000000006</v>
      </c>
      <c r="W30" s="78">
        <f t="shared" si="9"/>
        <v>300.00000000000006</v>
      </c>
      <c r="X30" s="78">
        <f t="shared" si="9"/>
        <v>300.00000000000006</v>
      </c>
      <c r="Y30" s="78">
        <f t="shared" si="9"/>
        <v>300.00000000000006</v>
      </c>
      <c r="Z30" s="78">
        <f t="shared" si="9"/>
        <v>300.00000000000006</v>
      </c>
      <c r="AA30" s="78">
        <f t="shared" si="9"/>
        <v>300.00000000000006</v>
      </c>
      <c r="AB30" s="78">
        <f t="shared" si="9"/>
        <v>300.00000000000006</v>
      </c>
      <c r="AC30" s="78">
        <f t="shared" si="9"/>
        <v>300.00000000000006</v>
      </c>
      <c r="AD30" s="78">
        <f t="shared" si="9"/>
        <v>300.00000000000006</v>
      </c>
      <c r="AE30" s="113"/>
      <c r="AF30" s="56">
        <f>SUM(G30:AD30)</f>
        <v>8550.0000000000018</v>
      </c>
      <c r="AG30" s="57">
        <f>COUNT(G30:AD30)</f>
        <v>22</v>
      </c>
      <c r="AH30" s="30">
        <f>AF30/AG30</f>
        <v>388.63636363636374</v>
      </c>
      <c r="AI30"/>
      <c r="AJ30"/>
      <c r="AK30"/>
      <c r="AL30"/>
      <c r="AM30"/>
      <c r="AN30"/>
      <c r="AO30"/>
      <c r="AP30"/>
      <c r="AQ30"/>
      <c r="AR30"/>
      <c r="AS30"/>
      <c r="AW30" s="22"/>
      <c r="AX30" s="22"/>
    </row>
    <row r="31" spans="1:50" x14ac:dyDescent="0.2">
      <c r="A31" s="35">
        <f>$F$2*0.00001</f>
        <v>750.00000000000011</v>
      </c>
      <c r="C31" s="53"/>
      <c r="D31" s="58" t="s">
        <v>21</v>
      </c>
      <c r="E31" s="62"/>
      <c r="F31" s="54"/>
      <c r="G31" s="77"/>
      <c r="H31" s="78">
        <f>$A$31*2</f>
        <v>1500.0000000000002</v>
      </c>
      <c r="I31" s="78">
        <f t="shared" ref="I31:K31" si="10">$A$31*2</f>
        <v>1500.0000000000002</v>
      </c>
      <c r="J31" s="78">
        <f t="shared" si="10"/>
        <v>1500.0000000000002</v>
      </c>
      <c r="K31" s="78">
        <f t="shared" si="10"/>
        <v>1500.0000000000002</v>
      </c>
      <c r="L31" s="78">
        <f>$A$31*4</f>
        <v>3000.0000000000005</v>
      </c>
      <c r="M31" s="78">
        <f>$A$31*4</f>
        <v>3000.0000000000005</v>
      </c>
      <c r="N31" s="78">
        <f t="shared" ref="N31" si="11">$A$31*2</f>
        <v>1500.0000000000002</v>
      </c>
      <c r="O31" s="78">
        <f>$A$31*0.8</f>
        <v>600.00000000000011</v>
      </c>
      <c r="P31" s="78">
        <f>$A$31*0.8</f>
        <v>600.00000000000011</v>
      </c>
      <c r="Q31" s="78">
        <f>$A$31*0.4</f>
        <v>300.00000000000006</v>
      </c>
      <c r="R31" s="79">
        <f>$A$31*2</f>
        <v>1500.0000000000002</v>
      </c>
      <c r="S31" s="80">
        <f t="shared" ref="S31:AD31" si="12">$A$31*0.4</f>
        <v>300.00000000000006</v>
      </c>
      <c r="T31" s="78">
        <f t="shared" si="12"/>
        <v>300.00000000000006</v>
      </c>
      <c r="U31" s="78">
        <f t="shared" si="12"/>
        <v>300.00000000000006</v>
      </c>
      <c r="V31" s="78">
        <f t="shared" si="12"/>
        <v>300.00000000000006</v>
      </c>
      <c r="W31" s="78">
        <f t="shared" si="12"/>
        <v>300.00000000000006</v>
      </c>
      <c r="X31" s="78">
        <f t="shared" si="12"/>
        <v>300.00000000000006</v>
      </c>
      <c r="Y31" s="78">
        <f t="shared" si="12"/>
        <v>300.00000000000006</v>
      </c>
      <c r="Z31" s="78">
        <f t="shared" si="12"/>
        <v>300.00000000000006</v>
      </c>
      <c r="AA31" s="78">
        <f t="shared" si="12"/>
        <v>300.00000000000006</v>
      </c>
      <c r="AB31" s="78">
        <f t="shared" si="12"/>
        <v>300.00000000000006</v>
      </c>
      <c r="AC31" s="78">
        <f t="shared" si="12"/>
        <v>300.00000000000006</v>
      </c>
      <c r="AD31" s="78">
        <f t="shared" si="12"/>
        <v>300.00000000000006</v>
      </c>
      <c r="AE31" s="113"/>
      <c r="AF31" s="56">
        <f>SUM(G31:AD31)</f>
        <v>20100.000000000004</v>
      </c>
      <c r="AG31" s="57">
        <f>COUNT(G31:AD31)</f>
        <v>23</v>
      </c>
      <c r="AH31" s="30">
        <f>AF31/AG31</f>
        <v>873.91304347826099</v>
      </c>
      <c r="AI31"/>
      <c r="AJ31"/>
      <c r="AK31"/>
      <c r="AL31"/>
      <c r="AM31"/>
      <c r="AN31"/>
      <c r="AO31"/>
      <c r="AP31"/>
      <c r="AQ31"/>
      <c r="AR31"/>
      <c r="AS31"/>
      <c r="AW31" s="22"/>
      <c r="AX31" s="22"/>
    </row>
    <row r="32" spans="1:50" x14ac:dyDescent="0.2">
      <c r="A32" s="35">
        <f>$F$2*0.00001</f>
        <v>750.00000000000011</v>
      </c>
      <c r="C32" s="53"/>
      <c r="D32" s="58" t="s">
        <v>22</v>
      </c>
      <c r="E32" s="62"/>
      <c r="F32" s="54"/>
      <c r="G32" s="78">
        <f>$A$32*0.4</f>
        <v>300.00000000000006</v>
      </c>
      <c r="H32" s="78">
        <f t="shared" ref="H32:I32" si="13">$A$32*0.4</f>
        <v>300.00000000000006</v>
      </c>
      <c r="I32" s="78">
        <f t="shared" si="13"/>
        <v>300.00000000000006</v>
      </c>
      <c r="J32" s="78">
        <f>$A$32*0.2</f>
        <v>150.00000000000003</v>
      </c>
      <c r="K32" s="78">
        <f>$A$32*0.2</f>
        <v>150.00000000000003</v>
      </c>
      <c r="L32" s="78"/>
      <c r="M32" s="78"/>
      <c r="N32" s="78"/>
      <c r="O32" s="78"/>
      <c r="P32" s="78"/>
      <c r="Q32" s="78"/>
      <c r="R32" s="79"/>
      <c r="S32" s="80"/>
      <c r="T32" s="78"/>
      <c r="U32" s="78"/>
      <c r="V32" s="78"/>
      <c r="W32" s="78"/>
      <c r="X32" s="78"/>
      <c r="Y32" s="78"/>
      <c r="Z32" s="78"/>
      <c r="AA32" s="78"/>
      <c r="AB32" s="78"/>
      <c r="AC32" s="78"/>
      <c r="AD32" s="78"/>
      <c r="AE32" s="113"/>
      <c r="AF32" s="56">
        <f>SUM(G32:AD32)</f>
        <v>1200.0000000000002</v>
      </c>
      <c r="AG32" s="57">
        <f>COUNT(G32:AD32)</f>
        <v>5</v>
      </c>
      <c r="AH32" s="30">
        <f>AF32/AG32</f>
        <v>240.00000000000006</v>
      </c>
      <c r="AI32"/>
      <c r="AJ32"/>
      <c r="AK32"/>
      <c r="AL32"/>
      <c r="AM32"/>
      <c r="AN32"/>
      <c r="AO32"/>
      <c r="AP32"/>
      <c r="AQ32"/>
      <c r="AR32"/>
      <c r="AS32"/>
      <c r="AW32" s="22"/>
      <c r="AX32" s="22"/>
    </row>
    <row r="33" spans="1:50" x14ac:dyDescent="0.2">
      <c r="A33" s="35">
        <f>$F$2*0.00001</f>
        <v>750.00000000000011</v>
      </c>
      <c r="C33" s="53"/>
      <c r="D33" s="58" t="s">
        <v>19</v>
      </c>
      <c r="E33" s="62"/>
      <c r="F33" s="54"/>
      <c r="G33" s="77"/>
      <c r="H33" s="78"/>
      <c r="I33" s="78">
        <f>$A$33*0.4</f>
        <v>300.00000000000006</v>
      </c>
      <c r="J33" s="78">
        <f>$A$33*0.4</f>
        <v>300.00000000000006</v>
      </c>
      <c r="K33" s="78"/>
      <c r="L33" s="78"/>
      <c r="M33" s="78"/>
      <c r="N33" s="78"/>
      <c r="O33" s="78"/>
      <c r="P33" s="78">
        <f>$A$33</f>
        <v>750.00000000000011</v>
      </c>
      <c r="Q33" s="78">
        <f>$A$33</f>
        <v>750.00000000000011</v>
      </c>
      <c r="R33" s="79"/>
      <c r="S33" s="80"/>
      <c r="T33" s="78"/>
      <c r="U33" s="78"/>
      <c r="V33" s="78"/>
      <c r="W33" s="78"/>
      <c r="X33" s="78"/>
      <c r="Y33" s="78"/>
      <c r="Z33" s="78"/>
      <c r="AA33" s="78"/>
      <c r="AB33" s="78"/>
      <c r="AC33" s="78"/>
      <c r="AD33" s="78"/>
      <c r="AE33" s="113"/>
      <c r="AF33" s="56">
        <f>SUM(G33:AD33)</f>
        <v>2100.0000000000005</v>
      </c>
      <c r="AG33" s="57">
        <f>COUNT(G33:AD33)</f>
        <v>4</v>
      </c>
      <c r="AH33" s="30">
        <f>AF33/AG33</f>
        <v>525.00000000000011</v>
      </c>
      <c r="AI33"/>
      <c r="AJ33"/>
      <c r="AK33"/>
      <c r="AL33"/>
      <c r="AM33"/>
      <c r="AN33"/>
      <c r="AO33"/>
      <c r="AP33"/>
      <c r="AQ33"/>
      <c r="AR33"/>
      <c r="AS33"/>
      <c r="AW33" s="22"/>
      <c r="AX33" s="22"/>
    </row>
    <row r="34" spans="1:50" ht="16" thickBot="1" x14ac:dyDescent="0.25">
      <c r="A34" s="35"/>
      <c r="C34" s="53"/>
      <c r="D34" s="58"/>
      <c r="E34" s="71"/>
      <c r="F34" s="54"/>
      <c r="G34" s="77"/>
      <c r="H34" s="78"/>
      <c r="I34" s="78"/>
      <c r="J34" s="78"/>
      <c r="K34" s="78"/>
      <c r="L34" s="78"/>
      <c r="M34" s="78"/>
      <c r="N34" s="78"/>
      <c r="O34" s="78"/>
      <c r="P34" s="78"/>
      <c r="Q34" s="78"/>
      <c r="R34" s="79"/>
      <c r="S34" s="80"/>
      <c r="T34" s="78"/>
      <c r="U34" s="78"/>
      <c r="V34" s="78"/>
      <c r="W34" s="78"/>
      <c r="X34" s="78"/>
      <c r="Y34" s="78"/>
      <c r="Z34" s="78"/>
      <c r="AA34" s="78"/>
      <c r="AB34" s="78"/>
      <c r="AC34" s="78"/>
      <c r="AD34" s="78"/>
      <c r="AE34" s="113"/>
      <c r="AF34" s="56"/>
      <c r="AG34" s="57"/>
      <c r="AH34" s="56"/>
      <c r="AI34"/>
      <c r="AJ34"/>
      <c r="AK34"/>
      <c r="AL34"/>
      <c r="AM34"/>
      <c r="AN34"/>
      <c r="AO34"/>
      <c r="AP34"/>
      <c r="AQ34"/>
      <c r="AR34"/>
      <c r="AS34"/>
      <c r="AW34" s="22"/>
      <c r="AX34" s="22"/>
    </row>
    <row r="35" spans="1:50" ht="16" thickBot="1" x14ac:dyDescent="0.25">
      <c r="A35" s="36"/>
      <c r="C35" s="327" t="s">
        <v>38</v>
      </c>
      <c r="D35" s="328"/>
      <c r="E35" s="329"/>
      <c r="F35" s="20"/>
      <c r="G35" s="11">
        <f t="shared" ref="G35:AD35" si="14">SUM(G30:G33)</f>
        <v>300.00000000000006</v>
      </c>
      <c r="H35" s="9">
        <f t="shared" si="14"/>
        <v>1800.0000000000002</v>
      </c>
      <c r="I35" s="9">
        <f t="shared" si="14"/>
        <v>2700.0000000000005</v>
      </c>
      <c r="J35" s="9">
        <f t="shared" si="14"/>
        <v>2550.0000000000005</v>
      </c>
      <c r="K35" s="9">
        <f t="shared" si="14"/>
        <v>2250.0000000000005</v>
      </c>
      <c r="L35" s="9">
        <f t="shared" si="14"/>
        <v>3600.0000000000005</v>
      </c>
      <c r="M35" s="9">
        <f t="shared" si="14"/>
        <v>3450.0000000000005</v>
      </c>
      <c r="N35" s="9">
        <f t="shared" si="14"/>
        <v>1950.0000000000002</v>
      </c>
      <c r="O35" s="9">
        <f t="shared" si="14"/>
        <v>1050.0000000000002</v>
      </c>
      <c r="P35" s="9">
        <f t="shared" si="14"/>
        <v>1650.0000000000005</v>
      </c>
      <c r="Q35" s="9">
        <f t="shared" si="14"/>
        <v>1350.0000000000002</v>
      </c>
      <c r="R35" s="10">
        <f t="shared" si="14"/>
        <v>2100.0000000000005</v>
      </c>
      <c r="S35" s="11">
        <f t="shared" si="14"/>
        <v>600.00000000000011</v>
      </c>
      <c r="T35" s="9">
        <f t="shared" si="14"/>
        <v>600.00000000000011</v>
      </c>
      <c r="U35" s="9">
        <f t="shared" si="14"/>
        <v>600.00000000000011</v>
      </c>
      <c r="V35" s="9">
        <f t="shared" si="14"/>
        <v>600.00000000000011</v>
      </c>
      <c r="W35" s="9">
        <f t="shared" si="14"/>
        <v>600.00000000000011</v>
      </c>
      <c r="X35" s="9">
        <f t="shared" si="14"/>
        <v>600.00000000000011</v>
      </c>
      <c r="Y35" s="9">
        <f t="shared" si="14"/>
        <v>600.00000000000011</v>
      </c>
      <c r="Z35" s="9">
        <f t="shared" si="14"/>
        <v>600.00000000000011</v>
      </c>
      <c r="AA35" s="9">
        <f t="shared" si="14"/>
        <v>600.00000000000011</v>
      </c>
      <c r="AB35" s="9">
        <f t="shared" si="14"/>
        <v>600.00000000000011</v>
      </c>
      <c r="AC35" s="9">
        <f t="shared" si="14"/>
        <v>600.00000000000011</v>
      </c>
      <c r="AD35" s="10">
        <f t="shared" si="14"/>
        <v>600.00000000000011</v>
      </c>
      <c r="AE35" s="14"/>
      <c r="AF35" s="19">
        <f>SUM(G35:AD35)</f>
        <v>31950.000000000004</v>
      </c>
      <c r="AG35" s="106">
        <f>COUNT(G35:AD35)</f>
        <v>24</v>
      </c>
      <c r="AH35" s="18">
        <f>AF35/AG35</f>
        <v>1331.2500000000002</v>
      </c>
      <c r="AI35"/>
      <c r="AJ35" s="162"/>
      <c r="AL35"/>
      <c r="AM35"/>
      <c r="AN35"/>
      <c r="AO35"/>
      <c r="AP35"/>
      <c r="AQ35"/>
      <c r="AR35"/>
      <c r="AS35"/>
      <c r="AW35" s="22"/>
      <c r="AX35" s="22"/>
    </row>
    <row r="36" spans="1:50" customFormat="1" ht="6" customHeight="1" thickBot="1" x14ac:dyDescent="0.25"/>
    <row r="37" spans="1:50" x14ac:dyDescent="0.2">
      <c r="A37" s="34"/>
      <c r="C37" s="86" t="s">
        <v>34</v>
      </c>
      <c r="D37" s="87"/>
      <c r="E37" s="96" t="s">
        <v>13</v>
      </c>
      <c r="F37" s="97" t="s">
        <v>35</v>
      </c>
      <c r="G37" s="90"/>
      <c r="H37" s="91"/>
      <c r="I37" s="91"/>
      <c r="J37" s="91"/>
      <c r="K37" s="91"/>
      <c r="L37" s="91"/>
      <c r="M37" s="91"/>
      <c r="N37" s="91"/>
      <c r="O37" s="91"/>
      <c r="P37" s="91"/>
      <c r="Q37" s="91"/>
      <c r="R37" s="92"/>
      <c r="S37" s="90"/>
      <c r="T37" s="91"/>
      <c r="U37" s="91"/>
      <c r="V37" s="91"/>
      <c r="W37" s="91"/>
      <c r="X37" s="91"/>
      <c r="Y37" s="91"/>
      <c r="Z37" s="91"/>
      <c r="AA37" s="91"/>
      <c r="AB37" s="91"/>
      <c r="AC37" s="91"/>
      <c r="AD37" s="93"/>
      <c r="AE37" s="94"/>
      <c r="AF37" s="95"/>
      <c r="AG37" s="95"/>
      <c r="AH37" s="95"/>
      <c r="AI37"/>
      <c r="AJ37"/>
      <c r="AK37"/>
      <c r="AL37"/>
      <c r="AM37"/>
      <c r="AN37"/>
      <c r="AO37"/>
      <c r="AP37"/>
      <c r="AQ37"/>
      <c r="AR37"/>
      <c r="AS37"/>
      <c r="AW37" s="22"/>
      <c r="AX37" s="22"/>
    </row>
    <row r="38" spans="1:50" x14ac:dyDescent="0.2">
      <c r="A38" s="35">
        <f>E38*F38</f>
        <v>600</v>
      </c>
      <c r="C38" s="39"/>
      <c r="D38" s="58" t="s">
        <v>34</v>
      </c>
      <c r="E38" s="85">
        <v>4</v>
      </c>
      <c r="F38" s="40">
        <f>F1</f>
        <v>150</v>
      </c>
      <c r="G38" s="64">
        <v>1</v>
      </c>
      <c r="H38" s="41">
        <v>1</v>
      </c>
      <c r="I38" s="41">
        <v>1</v>
      </c>
      <c r="J38" s="41">
        <v>1</v>
      </c>
      <c r="K38" s="41">
        <v>1</v>
      </c>
      <c r="L38" s="41">
        <v>1</v>
      </c>
      <c r="M38" s="41">
        <v>1</v>
      </c>
      <c r="N38" s="41">
        <v>1</v>
      </c>
      <c r="O38" s="41">
        <v>1</v>
      </c>
      <c r="P38" s="41">
        <v>1</v>
      </c>
      <c r="Q38" s="41">
        <v>1</v>
      </c>
      <c r="R38" s="41">
        <v>1</v>
      </c>
      <c r="S38" s="67">
        <v>1</v>
      </c>
      <c r="T38" s="65">
        <v>1</v>
      </c>
      <c r="U38" s="65">
        <v>1</v>
      </c>
      <c r="V38" s="65">
        <v>1</v>
      </c>
      <c r="W38" s="65">
        <v>1</v>
      </c>
      <c r="X38" s="65">
        <v>1</v>
      </c>
      <c r="Y38" s="65">
        <v>1</v>
      </c>
      <c r="Z38" s="65">
        <v>1</v>
      </c>
      <c r="AA38" s="65">
        <v>1</v>
      </c>
      <c r="AB38" s="65">
        <v>1</v>
      </c>
      <c r="AC38" s="65">
        <v>1</v>
      </c>
      <c r="AD38" s="65">
        <v>1</v>
      </c>
      <c r="AE38" s="114"/>
      <c r="AF38" s="30">
        <f>SUMPRODUCT(G38:AD38)*(A38)</f>
        <v>14400</v>
      </c>
      <c r="AG38" s="57">
        <f>COUNT(G38:AD38)</f>
        <v>24</v>
      </c>
      <c r="AH38" s="30">
        <f>AF38/AG38</f>
        <v>600</v>
      </c>
      <c r="AI38"/>
      <c r="AJ38"/>
      <c r="AK38"/>
      <c r="AL38"/>
      <c r="AM38"/>
      <c r="AN38"/>
      <c r="AO38"/>
      <c r="AP38"/>
      <c r="AQ38"/>
      <c r="AR38"/>
      <c r="AS38"/>
      <c r="AW38" s="22"/>
      <c r="AX38" s="22"/>
    </row>
    <row r="39" spans="1:50" ht="16" thickBot="1" x14ac:dyDescent="0.25">
      <c r="A39" s="35"/>
      <c r="C39" s="39"/>
      <c r="D39" s="58"/>
      <c r="E39" s="58"/>
      <c r="F39" s="40"/>
      <c r="G39" s="64"/>
      <c r="H39" s="41"/>
      <c r="I39" s="41"/>
      <c r="J39" s="41"/>
      <c r="K39" s="41"/>
      <c r="L39" s="41"/>
      <c r="M39" s="41"/>
      <c r="N39" s="41"/>
      <c r="O39" s="41"/>
      <c r="P39" s="65"/>
      <c r="Q39" s="65"/>
      <c r="R39" s="66"/>
      <c r="S39" s="67"/>
      <c r="T39" s="65"/>
      <c r="U39" s="65"/>
      <c r="V39" s="65"/>
      <c r="W39" s="65"/>
      <c r="X39" s="65"/>
      <c r="Y39" s="65"/>
      <c r="Z39" s="65"/>
      <c r="AA39" s="55"/>
      <c r="AB39" s="55"/>
      <c r="AC39" s="55"/>
      <c r="AD39" s="51"/>
      <c r="AE39" s="52"/>
      <c r="AF39" s="30"/>
      <c r="AG39" s="31"/>
      <c r="AH39" s="30"/>
      <c r="AI39"/>
      <c r="AJ39"/>
      <c r="AK39"/>
      <c r="AL39"/>
      <c r="AM39"/>
      <c r="AN39"/>
      <c r="AO39"/>
      <c r="AP39"/>
      <c r="AQ39"/>
      <c r="AR39"/>
      <c r="AS39"/>
      <c r="AW39" s="22"/>
      <c r="AX39" s="22"/>
    </row>
    <row r="40" spans="1:50" ht="16" thickBot="1" x14ac:dyDescent="0.25">
      <c r="A40" s="36"/>
      <c r="C40" s="327" t="s">
        <v>39</v>
      </c>
      <c r="D40" s="328"/>
      <c r="E40" s="329"/>
      <c r="F40" s="20"/>
      <c r="G40" s="11">
        <f t="shared" ref="G40:AD40" si="15">SUMPRODUCT(($A$38:$A$39),(G38:G39))</f>
        <v>600</v>
      </c>
      <c r="H40" s="9">
        <f t="shared" si="15"/>
        <v>600</v>
      </c>
      <c r="I40" s="9">
        <f t="shared" si="15"/>
        <v>600</v>
      </c>
      <c r="J40" s="9">
        <f t="shared" si="15"/>
        <v>600</v>
      </c>
      <c r="K40" s="9">
        <f t="shared" si="15"/>
        <v>600</v>
      </c>
      <c r="L40" s="9">
        <f t="shared" si="15"/>
        <v>600</v>
      </c>
      <c r="M40" s="9">
        <f t="shared" si="15"/>
        <v>600</v>
      </c>
      <c r="N40" s="9">
        <f t="shared" si="15"/>
        <v>600</v>
      </c>
      <c r="O40" s="9">
        <f t="shared" si="15"/>
        <v>600</v>
      </c>
      <c r="P40" s="9">
        <f t="shared" si="15"/>
        <v>600</v>
      </c>
      <c r="Q40" s="9">
        <f t="shared" si="15"/>
        <v>600</v>
      </c>
      <c r="R40" s="10">
        <f t="shared" si="15"/>
        <v>600</v>
      </c>
      <c r="S40" s="11">
        <f t="shared" si="15"/>
        <v>600</v>
      </c>
      <c r="T40" s="9">
        <f t="shared" si="15"/>
        <v>600</v>
      </c>
      <c r="U40" s="9">
        <f t="shared" si="15"/>
        <v>600</v>
      </c>
      <c r="V40" s="9">
        <f t="shared" si="15"/>
        <v>600</v>
      </c>
      <c r="W40" s="9">
        <f t="shared" si="15"/>
        <v>600</v>
      </c>
      <c r="X40" s="9">
        <f t="shared" si="15"/>
        <v>600</v>
      </c>
      <c r="Y40" s="9">
        <f t="shared" si="15"/>
        <v>600</v>
      </c>
      <c r="Z40" s="9">
        <f t="shared" si="15"/>
        <v>600</v>
      </c>
      <c r="AA40" s="9">
        <f t="shared" si="15"/>
        <v>600</v>
      </c>
      <c r="AB40" s="9">
        <f t="shared" si="15"/>
        <v>600</v>
      </c>
      <c r="AC40" s="9">
        <f t="shared" si="15"/>
        <v>600</v>
      </c>
      <c r="AD40" s="10">
        <f t="shared" si="15"/>
        <v>600</v>
      </c>
      <c r="AE40" s="14"/>
      <c r="AF40" s="19">
        <f>SUM(G40:AD40)</f>
        <v>14400</v>
      </c>
      <c r="AG40" s="106">
        <f>COUNT(G40:AD40)</f>
        <v>24</v>
      </c>
      <c r="AH40" s="18">
        <f>AF40/AG40</f>
        <v>600</v>
      </c>
      <c r="AI40"/>
      <c r="AJ40" s="162"/>
      <c r="AL40"/>
      <c r="AM40"/>
      <c r="AN40"/>
      <c r="AO40"/>
      <c r="AP40"/>
      <c r="AQ40"/>
      <c r="AR40"/>
      <c r="AS40"/>
      <c r="AW40" s="22"/>
      <c r="AX40" s="22"/>
    </row>
    <row r="41" spans="1:50" ht="6" customHeight="1" thickBot="1" x14ac:dyDescent="0.25">
      <c r="A41" s="43"/>
      <c r="C41" s="44"/>
      <c r="D41" s="44"/>
      <c r="E41" s="44"/>
      <c r="F41" s="45"/>
      <c r="G41" s="46"/>
      <c r="H41"/>
      <c r="I41"/>
      <c r="J41"/>
      <c r="K41"/>
      <c r="L41"/>
      <c r="M41"/>
      <c r="N41"/>
      <c r="O41"/>
      <c r="P41" s="46"/>
      <c r="Q41" s="46"/>
      <c r="R41" s="46"/>
      <c r="S41" s="46"/>
      <c r="T41" s="46"/>
      <c r="U41" s="46"/>
      <c r="V41" s="46"/>
      <c r="W41" s="46"/>
      <c r="X41" s="46"/>
      <c r="Y41" s="46"/>
      <c r="Z41"/>
      <c r="AA41"/>
      <c r="AB41"/>
      <c r="AC41"/>
      <c r="AD41"/>
      <c r="AE41"/>
      <c r="AF41" s="47"/>
      <c r="AG41" s="48"/>
      <c r="AH41" s="48"/>
      <c r="AI41"/>
      <c r="AJ41"/>
      <c r="AK41"/>
      <c r="AL41"/>
      <c r="AM41"/>
      <c r="AN41"/>
      <c r="AO41"/>
      <c r="AP41"/>
      <c r="AQ41"/>
      <c r="AR41"/>
      <c r="AS41"/>
      <c r="AW41" s="22"/>
      <c r="AX41" s="22"/>
    </row>
    <row r="42" spans="1:50" ht="16" thickBot="1" x14ac:dyDescent="0.25">
      <c r="A42" s="36"/>
      <c r="C42" s="319"/>
      <c r="D42" s="320"/>
      <c r="E42" s="321"/>
      <c r="F42" s="100"/>
      <c r="G42" s="102">
        <f>SUM(G27+G35+G40)</f>
        <v>43070.227647641048</v>
      </c>
      <c r="H42" s="101">
        <f t="shared" ref="H42:AD42" si="16">SUM(H27+H35+H40)</f>
        <v>34149.422632794456</v>
      </c>
      <c r="I42" s="101">
        <f t="shared" si="16"/>
        <v>38451.146486308149</v>
      </c>
      <c r="J42" s="101">
        <f t="shared" si="16"/>
        <v>32685.301880567469</v>
      </c>
      <c r="K42" s="101">
        <f t="shared" si="16"/>
        <v>22741.240514681624</v>
      </c>
      <c r="L42" s="101">
        <f t="shared" si="16"/>
        <v>23449.587594853183</v>
      </c>
      <c r="M42" s="101">
        <f t="shared" si="16"/>
        <v>14492.901270207853</v>
      </c>
      <c r="N42" s="101">
        <f t="shared" si="16"/>
        <v>12992.901270207853</v>
      </c>
      <c r="O42" s="101">
        <f t="shared" si="16"/>
        <v>11756.033487297922</v>
      </c>
      <c r="P42" s="101">
        <f t="shared" si="16"/>
        <v>12692.901270207853</v>
      </c>
      <c r="Q42" s="101">
        <f t="shared" si="16"/>
        <v>12056.033487297922</v>
      </c>
      <c r="R42" s="103">
        <f t="shared" si="16"/>
        <v>20009.877367205543</v>
      </c>
      <c r="S42" s="102">
        <f t="shared" si="16"/>
        <v>3145.1605080831414</v>
      </c>
      <c r="T42" s="101">
        <f t="shared" si="16"/>
        <v>3019.6662817551969</v>
      </c>
      <c r="U42" s="101">
        <f t="shared" si="16"/>
        <v>3145.1605080831414</v>
      </c>
      <c r="V42" s="101">
        <f t="shared" si="16"/>
        <v>3082.4133949191687</v>
      </c>
      <c r="W42" s="101">
        <f t="shared" si="16"/>
        <v>3145.1605080831414</v>
      </c>
      <c r="X42" s="101">
        <f t="shared" si="16"/>
        <v>3082.4133949191687</v>
      </c>
      <c r="Y42" s="101">
        <f t="shared" si="16"/>
        <v>3242.4185334872982</v>
      </c>
      <c r="Z42" s="101">
        <f t="shared" si="16"/>
        <v>3242.4185334872982</v>
      </c>
      <c r="AA42" s="101">
        <f t="shared" si="16"/>
        <v>3176.5340646651275</v>
      </c>
      <c r="AB42" s="101">
        <f t="shared" si="16"/>
        <v>2221.2092667436491</v>
      </c>
      <c r="AC42" s="101">
        <f t="shared" si="16"/>
        <v>2188.2670323325638</v>
      </c>
      <c r="AD42" s="103">
        <f t="shared" si="16"/>
        <v>2221.2092667436491</v>
      </c>
      <c r="AE42" s="104"/>
      <c r="AF42" s="154">
        <f>SUM(G42:AD42)</f>
        <v>313459.6062025734</v>
      </c>
      <c r="AG42" s="105">
        <f>COUNT(G42:AD42)</f>
        <v>24</v>
      </c>
      <c r="AH42" s="154">
        <f>AF42/AG42</f>
        <v>13060.816925107225</v>
      </c>
      <c r="AI42"/>
      <c r="AJ42"/>
      <c r="AK42"/>
      <c r="AL42"/>
      <c r="AM42"/>
      <c r="AN42"/>
      <c r="AO42"/>
      <c r="AP42"/>
      <c r="AQ42"/>
      <c r="AR42"/>
      <c r="AS42"/>
      <c r="AW42" s="22"/>
      <c r="AX42" s="22"/>
    </row>
    <row r="43" spans="1:50" customFormat="1" x14ac:dyDescent="0.2">
      <c r="AF43" s="153">
        <f>SUM(AF27+AF35+AF40)</f>
        <v>313459.6062025734</v>
      </c>
      <c r="AG43" s="22" t="str">
        <f>IF(AF43=AF42,"OK","ERROR")</f>
        <v>OK</v>
      </c>
    </row>
    <row r="44" spans="1:50" customFormat="1" x14ac:dyDescent="0.2">
      <c r="AF44" s="163"/>
    </row>
    <row r="45" spans="1:50" x14ac:dyDescent="0.2">
      <c r="C45"/>
      <c r="D45"/>
      <c r="E45"/>
      <c r="F45"/>
      <c r="G45"/>
      <c r="H45"/>
      <c r="I45"/>
      <c r="AK45"/>
      <c r="AL45"/>
      <c r="AM45"/>
      <c r="AN45"/>
      <c r="AO45"/>
      <c r="AP45"/>
      <c r="AQ45"/>
      <c r="AR45"/>
      <c r="AS45"/>
      <c r="AT45"/>
    </row>
    <row r="46" spans="1:50" ht="16" x14ac:dyDescent="0.2">
      <c r="C46" s="215" t="s">
        <v>26</v>
      </c>
      <c r="D46" s="38"/>
      <c r="E46" s="68" t="s">
        <v>67</v>
      </c>
      <c r="F46" s="164">
        <f>F1</f>
        <v>150</v>
      </c>
      <c r="G46"/>
      <c r="H46"/>
      <c r="I46"/>
    </row>
    <row r="47" spans="1:50" ht="16" x14ac:dyDescent="0.2">
      <c r="C47" s="216" t="s">
        <v>27</v>
      </c>
      <c r="D47" s="25"/>
      <c r="E47" s="68" t="s">
        <v>59</v>
      </c>
      <c r="F47" s="165">
        <f>F2</f>
        <v>75000000</v>
      </c>
      <c r="G47"/>
      <c r="H47"/>
      <c r="I47"/>
    </row>
    <row r="48" spans="1:50" ht="26" x14ac:dyDescent="0.2">
      <c r="C48" s="287" t="s">
        <v>41</v>
      </c>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row>
    <row r="49" spans="1:50" x14ac:dyDescent="0.2">
      <c r="C49" s="322" t="s">
        <v>15</v>
      </c>
      <c r="D49" s="323"/>
      <c r="E49" s="323"/>
      <c r="F49" s="323"/>
      <c r="G49" s="314" t="s">
        <v>17</v>
      </c>
      <c r="H49" s="315"/>
      <c r="I49" s="315"/>
      <c r="J49" s="315"/>
      <c r="K49" s="315"/>
      <c r="L49" s="315"/>
      <c r="M49" s="315"/>
      <c r="N49" s="315"/>
      <c r="O49" s="315"/>
      <c r="P49" s="315"/>
      <c r="Q49" s="315"/>
      <c r="R49" s="316"/>
      <c r="S49" s="126"/>
      <c r="T49" s="126"/>
      <c r="U49" s="126"/>
      <c r="V49" s="126"/>
      <c r="W49" s="126"/>
      <c r="X49" s="126"/>
      <c r="Y49" s="126"/>
      <c r="Z49" s="126"/>
      <c r="AA49" s="127"/>
      <c r="AB49" s="127"/>
      <c r="AC49" s="127"/>
      <c r="AD49" s="127"/>
      <c r="AE49" s="127"/>
      <c r="AF49" s="127"/>
      <c r="AG49" s="127"/>
      <c r="AH49" s="127"/>
      <c r="AI49" s="127"/>
      <c r="AJ49" s="127"/>
      <c r="AK49" s="127"/>
      <c r="AL49" s="127"/>
      <c r="AM49" s="127"/>
      <c r="AN49" s="128"/>
      <c r="AO49" s="128"/>
    </row>
    <row r="50" spans="1:50" x14ac:dyDescent="0.2">
      <c r="C50" s="317" t="s">
        <v>16</v>
      </c>
      <c r="D50" s="318"/>
      <c r="E50" s="318"/>
      <c r="F50" s="318"/>
      <c r="G50" s="305" t="s">
        <v>18</v>
      </c>
      <c r="H50" s="306"/>
      <c r="I50" s="306"/>
      <c r="J50" s="306"/>
      <c r="K50" s="306"/>
      <c r="L50" s="306"/>
      <c r="M50" s="306"/>
      <c r="N50" s="306"/>
      <c r="O50" s="306"/>
      <c r="P50" s="306"/>
      <c r="Q50" s="306"/>
      <c r="R50" s="306"/>
      <c r="S50" s="306"/>
      <c r="T50" s="306"/>
      <c r="U50" s="306"/>
      <c r="V50" s="306"/>
      <c r="W50" s="306"/>
      <c r="X50" s="306"/>
      <c r="Y50" s="306"/>
      <c r="Z50" s="306"/>
      <c r="AA50" s="306"/>
      <c r="AB50" s="306"/>
      <c r="AC50" s="306"/>
      <c r="AD50" s="307"/>
      <c r="AE50" s="107"/>
      <c r="AF50" s="116"/>
      <c r="AG50" s="116"/>
      <c r="AH50" s="116"/>
      <c r="AI50" s="116"/>
      <c r="AJ50" s="116"/>
      <c r="AK50" s="116"/>
      <c r="AL50" s="116"/>
      <c r="AM50" s="116"/>
      <c r="AN50" s="124"/>
      <c r="AO50" s="120"/>
    </row>
    <row r="51" spans="1:50" x14ac:dyDescent="0.2">
      <c r="C51" s="367" t="s">
        <v>45</v>
      </c>
      <c r="D51" s="368"/>
      <c r="E51" s="368"/>
      <c r="F51" s="369"/>
      <c r="G51" s="324" t="s">
        <v>46</v>
      </c>
      <c r="H51" s="325"/>
      <c r="I51" s="325"/>
      <c r="J51" s="325"/>
      <c r="K51" s="326"/>
      <c r="L51" s="116"/>
      <c r="M51" s="116"/>
      <c r="N51" s="116"/>
      <c r="O51" s="116"/>
      <c r="P51" s="116"/>
      <c r="Q51" s="116"/>
      <c r="R51" s="133"/>
      <c r="S51" s="116"/>
      <c r="T51" s="116"/>
      <c r="U51" s="116"/>
      <c r="V51" s="116"/>
      <c r="W51" s="116"/>
      <c r="X51" s="116"/>
      <c r="Y51" s="116"/>
      <c r="Z51" s="116"/>
      <c r="AA51" s="116"/>
      <c r="AB51" s="116"/>
      <c r="AC51" s="116"/>
      <c r="AD51" s="133"/>
      <c r="AE51" s="116"/>
      <c r="AF51" s="116"/>
      <c r="AG51" s="116"/>
      <c r="AH51" s="116"/>
      <c r="AI51" s="116"/>
      <c r="AJ51" s="116"/>
      <c r="AK51" s="116"/>
      <c r="AL51" s="116"/>
      <c r="AM51" s="116"/>
      <c r="AN51" s="124"/>
      <c r="AO51" s="124"/>
    </row>
    <row r="52" spans="1:50" s="110" customFormat="1" x14ac:dyDescent="0.2">
      <c r="A52" s="108"/>
      <c r="B52" s="109"/>
      <c r="C52" s="370"/>
      <c r="D52" s="371"/>
      <c r="E52" s="371"/>
      <c r="F52" s="372"/>
      <c r="G52" s="116"/>
      <c r="H52" s="116"/>
      <c r="I52" s="116"/>
      <c r="J52" s="116"/>
      <c r="K52" s="354" t="s">
        <v>47</v>
      </c>
      <c r="L52" s="355"/>
      <c r="M52" s="376"/>
      <c r="N52" s="376"/>
      <c r="O52" s="377"/>
      <c r="P52" s="116"/>
      <c r="Q52" s="116"/>
      <c r="R52" s="134"/>
      <c r="S52" s="116"/>
      <c r="T52" s="116"/>
      <c r="U52" s="116"/>
      <c r="V52" s="116"/>
      <c r="W52" s="116"/>
      <c r="X52" s="116"/>
      <c r="Y52" s="116"/>
      <c r="Z52" s="116"/>
      <c r="AA52" s="116"/>
      <c r="AB52" s="116"/>
      <c r="AC52" s="116"/>
      <c r="AD52" s="134"/>
      <c r="AE52" s="116"/>
      <c r="AF52" s="116"/>
      <c r="AG52" s="116"/>
      <c r="AH52" s="116"/>
      <c r="AI52" s="116"/>
      <c r="AJ52" s="116"/>
      <c r="AK52" s="116"/>
      <c r="AL52" s="116"/>
      <c r="AM52" s="116"/>
      <c r="AN52" s="124"/>
      <c r="AO52" s="124"/>
      <c r="AS52" s="109"/>
      <c r="AT52" s="109"/>
      <c r="AU52" s="109"/>
      <c r="AV52" s="109"/>
      <c r="AW52" s="109"/>
      <c r="AX52" s="109"/>
    </row>
    <row r="53" spans="1:50" s="110" customFormat="1" x14ac:dyDescent="0.2">
      <c r="A53" s="108"/>
      <c r="B53" s="109"/>
      <c r="C53" s="370"/>
      <c r="D53" s="371"/>
      <c r="E53" s="371"/>
      <c r="F53" s="372"/>
      <c r="G53" s="116"/>
      <c r="H53" s="116"/>
      <c r="I53" s="116"/>
      <c r="J53" s="116"/>
      <c r="K53" s="129"/>
      <c r="L53" s="116"/>
      <c r="M53" s="379" t="s">
        <v>48</v>
      </c>
      <c r="N53" s="380"/>
      <c r="O53" s="380"/>
      <c r="P53" s="380"/>
      <c r="Q53" s="380"/>
      <c r="R53" s="380"/>
      <c r="S53" s="380"/>
      <c r="T53" s="380"/>
      <c r="U53" s="380"/>
      <c r="V53" s="380"/>
      <c r="W53" s="380"/>
      <c r="X53" s="380"/>
      <c r="Y53" s="380"/>
      <c r="Z53" s="380"/>
      <c r="AA53" s="380"/>
      <c r="AB53" s="380"/>
      <c r="AC53" s="380"/>
      <c r="AD53" s="380"/>
      <c r="AE53" s="380"/>
      <c r="AF53" s="380"/>
      <c r="AG53" s="380"/>
      <c r="AH53" s="380"/>
      <c r="AI53" s="380"/>
      <c r="AJ53" s="380"/>
      <c r="AK53" s="380"/>
      <c r="AL53" s="380"/>
      <c r="AM53" s="380"/>
      <c r="AN53" s="381"/>
      <c r="AO53" s="124"/>
      <c r="AS53" s="109"/>
      <c r="AT53" s="109"/>
      <c r="AU53" s="109"/>
      <c r="AV53" s="109"/>
      <c r="AW53" s="109"/>
      <c r="AX53" s="109"/>
    </row>
    <row r="54" spans="1:50" s="110" customFormat="1" x14ac:dyDescent="0.2">
      <c r="A54" s="108"/>
      <c r="B54" s="109"/>
      <c r="C54" s="370"/>
      <c r="D54" s="371"/>
      <c r="E54" s="371"/>
      <c r="F54" s="372"/>
      <c r="G54" s="116"/>
      <c r="H54" s="116"/>
      <c r="I54" s="116"/>
      <c r="J54" s="116"/>
      <c r="K54" s="130"/>
      <c r="L54" s="116"/>
      <c r="M54" s="130"/>
      <c r="N54" s="116"/>
      <c r="O54" s="116"/>
      <c r="P54" s="130"/>
      <c r="Q54" s="311" t="s">
        <v>50</v>
      </c>
      <c r="R54" s="312"/>
      <c r="S54" s="312"/>
      <c r="T54" s="312"/>
      <c r="U54" s="313"/>
      <c r="V54" s="116"/>
      <c r="W54" s="116"/>
      <c r="X54" s="116"/>
      <c r="Y54" s="116"/>
      <c r="Z54" s="116"/>
      <c r="AA54" s="116"/>
      <c r="AB54" s="116"/>
      <c r="AC54" s="116"/>
      <c r="AD54" s="135"/>
      <c r="AE54" s="116"/>
      <c r="AF54" s="116"/>
      <c r="AG54" s="116"/>
      <c r="AH54" s="116"/>
      <c r="AI54" s="116"/>
      <c r="AJ54" s="116"/>
      <c r="AK54" s="116"/>
      <c r="AL54" s="116"/>
      <c r="AM54" s="116"/>
      <c r="AN54" s="125"/>
      <c r="AO54" s="124"/>
      <c r="AS54" s="109"/>
      <c r="AT54" s="109"/>
      <c r="AU54" s="109"/>
      <c r="AV54" s="109"/>
      <c r="AW54" s="109"/>
      <c r="AX54" s="109"/>
    </row>
    <row r="55" spans="1:50" s="110" customFormat="1" x14ac:dyDescent="0.2">
      <c r="A55" s="108"/>
      <c r="B55" s="109"/>
      <c r="C55" s="370"/>
      <c r="D55" s="371"/>
      <c r="E55" s="371"/>
      <c r="F55" s="372"/>
      <c r="G55" s="116"/>
      <c r="H55" s="116"/>
      <c r="I55" s="116"/>
      <c r="J55" s="116"/>
      <c r="K55" s="130"/>
      <c r="L55" s="116"/>
      <c r="M55" s="130"/>
      <c r="N55" s="116"/>
      <c r="O55" s="116"/>
      <c r="P55" s="130"/>
      <c r="Q55" s="116"/>
      <c r="R55" s="116"/>
      <c r="S55" s="130"/>
      <c r="T55" s="116"/>
      <c r="U55" s="382" t="s">
        <v>51</v>
      </c>
      <c r="V55" s="383"/>
      <c r="W55" s="383"/>
      <c r="X55" s="383"/>
      <c r="Y55" s="383"/>
      <c r="Z55" s="383"/>
      <c r="AA55" s="383"/>
      <c r="AB55" s="383"/>
      <c r="AC55" s="383"/>
      <c r="AD55" s="383"/>
      <c r="AE55" s="383"/>
      <c r="AF55" s="383"/>
      <c r="AG55" s="383"/>
      <c r="AH55" s="383"/>
      <c r="AI55" s="383"/>
      <c r="AJ55" s="383"/>
      <c r="AK55" s="383"/>
      <c r="AL55" s="383"/>
      <c r="AM55" s="383"/>
      <c r="AN55" s="384"/>
      <c r="AO55" s="121"/>
      <c r="AS55" s="109"/>
      <c r="AT55" s="109"/>
      <c r="AU55" s="109"/>
      <c r="AV55" s="109"/>
      <c r="AW55" s="109"/>
      <c r="AX55" s="109"/>
    </row>
    <row r="56" spans="1:50" s="110" customFormat="1" x14ac:dyDescent="0.2">
      <c r="A56" s="108"/>
      <c r="B56" s="109"/>
      <c r="C56" s="370"/>
      <c r="D56" s="371"/>
      <c r="E56" s="371"/>
      <c r="F56" s="372"/>
      <c r="G56" s="116"/>
      <c r="H56" s="116"/>
      <c r="I56" s="116"/>
      <c r="J56" s="116"/>
      <c r="K56" s="130"/>
      <c r="L56" s="116"/>
      <c r="M56" s="130"/>
      <c r="N56" s="116"/>
      <c r="O56" s="116"/>
      <c r="P56" s="130"/>
      <c r="Q56" s="116"/>
      <c r="R56" s="116"/>
      <c r="S56" s="130"/>
      <c r="T56" s="116"/>
      <c r="U56" s="130"/>
      <c r="V56" s="385" t="s">
        <v>52</v>
      </c>
      <c r="W56" s="386"/>
      <c r="X56" s="386"/>
      <c r="Y56" s="387"/>
      <c r="Z56" s="387"/>
      <c r="AA56" s="387"/>
      <c r="AB56" s="387"/>
      <c r="AC56" s="388"/>
      <c r="AD56" s="134"/>
      <c r="AE56" s="116"/>
      <c r="AF56" s="116"/>
      <c r="AG56" s="116"/>
      <c r="AH56" s="116"/>
      <c r="AI56" s="116"/>
      <c r="AJ56" s="116"/>
      <c r="AK56" s="116"/>
      <c r="AL56" s="116"/>
      <c r="AM56" s="116"/>
      <c r="AN56" s="134"/>
      <c r="AO56" s="124"/>
      <c r="AS56" s="109"/>
      <c r="AT56" s="109"/>
      <c r="AU56" s="109"/>
      <c r="AV56" s="109"/>
      <c r="AW56" s="109"/>
      <c r="AX56" s="109"/>
    </row>
    <row r="57" spans="1:50" s="110" customFormat="1" x14ac:dyDescent="0.2">
      <c r="A57" s="108"/>
      <c r="B57" s="109"/>
      <c r="C57" s="370"/>
      <c r="D57" s="371"/>
      <c r="E57" s="371"/>
      <c r="F57" s="372"/>
      <c r="G57" s="116"/>
      <c r="H57" s="116"/>
      <c r="I57" s="116"/>
      <c r="J57" s="116"/>
      <c r="K57" s="130"/>
      <c r="L57" s="116"/>
      <c r="M57" s="130"/>
      <c r="N57" s="116"/>
      <c r="O57" s="116"/>
      <c r="P57" s="130"/>
      <c r="Q57" s="116"/>
      <c r="R57" s="116"/>
      <c r="S57" s="130"/>
      <c r="T57" s="116"/>
      <c r="U57" s="130"/>
      <c r="V57" s="130"/>
      <c r="W57" s="116"/>
      <c r="X57" s="116"/>
      <c r="Y57" s="360" t="s">
        <v>53</v>
      </c>
      <c r="Z57" s="361"/>
      <c r="AA57" s="361"/>
      <c r="AB57" s="361"/>
      <c r="AC57" s="361"/>
      <c r="AD57" s="361"/>
      <c r="AE57" s="361"/>
      <c r="AF57" s="361"/>
      <c r="AG57" s="361"/>
      <c r="AH57" s="361"/>
      <c r="AI57" s="361"/>
      <c r="AJ57" s="361"/>
      <c r="AK57" s="361"/>
      <c r="AL57" s="361"/>
      <c r="AM57" s="362"/>
      <c r="AN57" s="134"/>
      <c r="AO57" s="124"/>
      <c r="AS57" s="109"/>
      <c r="AT57" s="109"/>
      <c r="AU57" s="109"/>
      <c r="AV57" s="109"/>
      <c r="AW57" s="109"/>
      <c r="AX57" s="109"/>
    </row>
    <row r="58" spans="1:50" s="110" customFormat="1" x14ac:dyDescent="0.2">
      <c r="A58" s="108"/>
      <c r="B58" s="109"/>
      <c r="C58" s="370"/>
      <c r="D58" s="371"/>
      <c r="E58" s="371"/>
      <c r="F58" s="372"/>
      <c r="G58" s="116"/>
      <c r="H58" s="116"/>
      <c r="I58" s="116"/>
      <c r="J58" s="116"/>
      <c r="K58" s="130"/>
      <c r="L58" s="116"/>
      <c r="M58" s="130"/>
      <c r="N58" s="116"/>
      <c r="O58" s="116"/>
      <c r="P58" s="130"/>
      <c r="Q58" s="116"/>
      <c r="R58" s="116"/>
      <c r="S58" s="130"/>
      <c r="T58" s="116"/>
      <c r="U58" s="130"/>
      <c r="V58" s="130"/>
      <c r="W58" s="116"/>
      <c r="X58" s="116"/>
      <c r="Y58" s="130"/>
      <c r="Z58" s="116"/>
      <c r="AA58" s="116"/>
      <c r="AB58" s="116"/>
      <c r="AC58" s="116"/>
      <c r="AD58" s="134"/>
      <c r="AE58" s="116"/>
      <c r="AF58" s="116"/>
      <c r="AG58" s="116"/>
      <c r="AH58" s="116"/>
      <c r="AI58" s="116"/>
      <c r="AJ58" s="116"/>
      <c r="AK58" s="116"/>
      <c r="AL58" s="116"/>
      <c r="AM58" s="365" t="s">
        <v>54</v>
      </c>
      <c r="AN58" s="366"/>
      <c r="AO58" s="125"/>
      <c r="AS58" s="109"/>
      <c r="AT58" s="109"/>
      <c r="AU58" s="109"/>
      <c r="AV58" s="109"/>
      <c r="AW58" s="109"/>
      <c r="AX58" s="109"/>
    </row>
    <row r="59" spans="1:50" s="110" customFormat="1" ht="16" thickBot="1" x14ac:dyDescent="0.25">
      <c r="A59" s="108"/>
      <c r="B59" s="109"/>
      <c r="C59" s="373"/>
      <c r="D59" s="374"/>
      <c r="E59" s="374"/>
      <c r="F59" s="375"/>
      <c r="G59" s="122"/>
      <c r="H59" s="122"/>
      <c r="I59" s="122"/>
      <c r="J59" s="122"/>
      <c r="K59" s="131"/>
      <c r="L59" s="122"/>
      <c r="M59" s="130"/>
      <c r="N59" s="122"/>
      <c r="O59" s="122"/>
      <c r="P59" s="130"/>
      <c r="Q59" s="122"/>
      <c r="R59" s="122"/>
      <c r="S59" s="130"/>
      <c r="T59" s="122"/>
      <c r="U59" s="130"/>
      <c r="V59" s="130"/>
      <c r="W59" s="122"/>
      <c r="X59" s="122"/>
      <c r="Y59" s="130"/>
      <c r="Z59" s="122"/>
      <c r="AA59" s="122"/>
      <c r="AB59" s="122"/>
      <c r="AC59" s="122"/>
      <c r="AD59" s="134"/>
      <c r="AE59" s="116"/>
      <c r="AF59" s="122"/>
      <c r="AG59" s="122"/>
      <c r="AH59" s="122"/>
      <c r="AI59" s="122"/>
      <c r="AJ59" s="122"/>
      <c r="AK59" s="122"/>
      <c r="AL59" s="363" t="s">
        <v>49</v>
      </c>
      <c r="AM59" s="363"/>
      <c r="AN59" s="364"/>
      <c r="AO59" s="125"/>
      <c r="AS59" s="109"/>
      <c r="AT59" s="109"/>
      <c r="AU59" s="109"/>
      <c r="AV59" s="109"/>
      <c r="AW59" s="109"/>
      <c r="AX59" s="109"/>
    </row>
    <row r="60" spans="1:50" ht="31" thickBot="1" x14ac:dyDescent="0.25">
      <c r="A60" s="37" t="s">
        <v>82</v>
      </c>
      <c r="C60" s="117" t="s">
        <v>0</v>
      </c>
      <c r="D60" s="118"/>
      <c r="E60" s="118" t="s">
        <v>1</v>
      </c>
      <c r="F60" s="119"/>
      <c r="G60" s="69">
        <v>44927</v>
      </c>
      <c r="H60" s="69">
        <v>44958</v>
      </c>
      <c r="I60" s="69">
        <v>44986</v>
      </c>
      <c r="J60" s="69">
        <v>45017</v>
      </c>
      <c r="K60" s="69">
        <v>45047</v>
      </c>
      <c r="L60" s="69">
        <v>45078</v>
      </c>
      <c r="M60" s="69">
        <v>45108</v>
      </c>
      <c r="N60" s="69">
        <v>45139</v>
      </c>
      <c r="O60" s="69">
        <v>45170</v>
      </c>
      <c r="P60" s="69">
        <v>45200</v>
      </c>
      <c r="Q60" s="69">
        <v>45231</v>
      </c>
      <c r="R60" s="69">
        <v>45261</v>
      </c>
      <c r="S60" s="70">
        <v>45292</v>
      </c>
      <c r="T60" s="70">
        <v>45323</v>
      </c>
      <c r="U60" s="70">
        <v>45352</v>
      </c>
      <c r="V60" s="70">
        <v>45383</v>
      </c>
      <c r="W60" s="70">
        <v>45413</v>
      </c>
      <c r="X60" s="70">
        <v>45444</v>
      </c>
      <c r="Y60" s="70">
        <v>45474</v>
      </c>
      <c r="Z60" s="70">
        <v>45505</v>
      </c>
      <c r="AA60" s="70">
        <v>45536</v>
      </c>
      <c r="AB60" s="70">
        <v>45566</v>
      </c>
      <c r="AC60" s="70">
        <v>45597</v>
      </c>
      <c r="AD60" s="70">
        <v>45627</v>
      </c>
      <c r="AE60" s="70"/>
      <c r="AF60" s="70">
        <v>45658</v>
      </c>
      <c r="AG60" s="70">
        <v>45689</v>
      </c>
      <c r="AH60" s="70">
        <v>45717</v>
      </c>
      <c r="AI60" s="70">
        <v>45748</v>
      </c>
      <c r="AJ60" s="70">
        <v>45778</v>
      </c>
      <c r="AK60" s="70">
        <v>45809</v>
      </c>
      <c r="AL60" s="70">
        <v>45839</v>
      </c>
      <c r="AM60" s="70">
        <v>45870</v>
      </c>
      <c r="AN60" s="70">
        <v>45901</v>
      </c>
      <c r="AO60" s="70">
        <v>45931</v>
      </c>
      <c r="AP60" s="16" t="s">
        <v>2</v>
      </c>
      <c r="AQ60" s="17" t="s">
        <v>6</v>
      </c>
      <c r="AR60" s="17" t="s">
        <v>7</v>
      </c>
    </row>
    <row r="61" spans="1:50" s="28" customFormat="1" x14ac:dyDescent="0.2">
      <c r="A61" s="33" t="s">
        <v>32</v>
      </c>
      <c r="B61" s="23"/>
      <c r="C61" s="330" t="s">
        <v>3</v>
      </c>
      <c r="D61" s="331"/>
      <c r="E61" s="331"/>
      <c r="F61" s="331"/>
      <c r="G61" s="334">
        <v>2023</v>
      </c>
      <c r="H61" s="335"/>
      <c r="I61" s="335"/>
      <c r="J61" s="335"/>
      <c r="K61" s="335"/>
      <c r="L61" s="335"/>
      <c r="M61" s="335"/>
      <c r="N61" s="335"/>
      <c r="O61" s="335"/>
      <c r="P61" s="335"/>
      <c r="Q61" s="335"/>
      <c r="R61" s="336"/>
      <c r="S61" s="308">
        <v>2024</v>
      </c>
      <c r="T61" s="309"/>
      <c r="U61" s="309"/>
      <c r="V61" s="309"/>
      <c r="W61" s="309"/>
      <c r="X61" s="309"/>
      <c r="Y61" s="309"/>
      <c r="Z61" s="309"/>
      <c r="AA61" s="309"/>
      <c r="AB61" s="309"/>
      <c r="AC61" s="309"/>
      <c r="AD61" s="310"/>
      <c r="AE61" s="148"/>
      <c r="AF61" s="308">
        <v>2025</v>
      </c>
      <c r="AG61" s="309"/>
      <c r="AH61" s="309"/>
      <c r="AI61" s="309"/>
      <c r="AJ61" s="309"/>
      <c r="AK61" s="309"/>
      <c r="AL61" s="309"/>
      <c r="AM61" s="309"/>
      <c r="AN61" s="309"/>
      <c r="AO61" s="310"/>
      <c r="AP61" s="27"/>
      <c r="AQ61" s="27"/>
      <c r="AR61" s="27"/>
      <c r="AS61" s="23"/>
      <c r="AT61" s="23"/>
      <c r="AU61" s="23"/>
      <c r="AV61" s="23"/>
      <c r="AW61" s="23"/>
      <c r="AX61" s="23"/>
    </row>
    <row r="62" spans="1:50" s="28" customFormat="1" x14ac:dyDescent="0.2">
      <c r="A62" s="34"/>
      <c r="B62" s="23"/>
      <c r="C62" s="332" t="s">
        <v>4</v>
      </c>
      <c r="D62" s="333"/>
      <c r="E62" s="333"/>
      <c r="F62" s="333"/>
      <c r="G62" s="1">
        <f>(H60-G60)/7</f>
        <v>4.4285714285714288</v>
      </c>
      <c r="H62" s="2">
        <f t="shared" ref="H62:AC62" si="17">(I60-H60)/7</f>
        <v>4</v>
      </c>
      <c r="I62" s="2">
        <f t="shared" si="17"/>
        <v>4.4285714285714288</v>
      </c>
      <c r="J62" s="2">
        <f t="shared" si="17"/>
        <v>4.2857142857142856</v>
      </c>
      <c r="K62" s="2">
        <f t="shared" si="17"/>
        <v>4.4285714285714288</v>
      </c>
      <c r="L62" s="2">
        <f t="shared" si="17"/>
        <v>4.2857142857142856</v>
      </c>
      <c r="M62" s="2">
        <f t="shared" si="17"/>
        <v>4.4285714285714288</v>
      </c>
      <c r="N62" s="2">
        <f t="shared" si="17"/>
        <v>4.4285714285714288</v>
      </c>
      <c r="O62" s="2">
        <f t="shared" si="17"/>
        <v>4.2857142857142856</v>
      </c>
      <c r="P62" s="2">
        <f t="shared" si="17"/>
        <v>4.4285714285714288</v>
      </c>
      <c r="Q62" s="2">
        <f t="shared" si="17"/>
        <v>4.2857142857142856</v>
      </c>
      <c r="R62" s="3">
        <f t="shared" si="17"/>
        <v>4.4285714285714288</v>
      </c>
      <c r="S62" s="1">
        <f t="shared" si="17"/>
        <v>4.4285714285714288</v>
      </c>
      <c r="T62" s="2">
        <f t="shared" si="17"/>
        <v>4.1428571428571432</v>
      </c>
      <c r="U62" s="2">
        <f t="shared" si="17"/>
        <v>4.4285714285714288</v>
      </c>
      <c r="V62" s="2">
        <f t="shared" si="17"/>
        <v>4.2857142857142856</v>
      </c>
      <c r="W62" s="2">
        <f t="shared" si="17"/>
        <v>4.4285714285714288</v>
      </c>
      <c r="X62" s="2">
        <f t="shared" si="17"/>
        <v>4.2857142857142856</v>
      </c>
      <c r="Y62" s="2">
        <f t="shared" si="17"/>
        <v>4.4285714285714288</v>
      </c>
      <c r="Z62" s="2">
        <f t="shared" si="17"/>
        <v>4.4285714285714288</v>
      </c>
      <c r="AA62" s="2">
        <f t="shared" si="17"/>
        <v>4.2857142857142856</v>
      </c>
      <c r="AB62" s="2">
        <f t="shared" si="17"/>
        <v>4.4285714285714288</v>
      </c>
      <c r="AC62" s="2">
        <f t="shared" si="17"/>
        <v>4.2857142857142856</v>
      </c>
      <c r="AD62" s="3">
        <f>(AF60-AD60)/7</f>
        <v>4.4285714285714288</v>
      </c>
      <c r="AE62" s="149"/>
      <c r="AF62" s="2">
        <f t="shared" ref="AF62:AN62" si="18">(AG60-AF60)/7</f>
        <v>4.4285714285714288</v>
      </c>
      <c r="AG62" s="2">
        <f t="shared" si="18"/>
        <v>4</v>
      </c>
      <c r="AH62" s="2">
        <f t="shared" si="18"/>
        <v>4.4285714285714288</v>
      </c>
      <c r="AI62" s="2">
        <f t="shared" si="18"/>
        <v>4.2857142857142856</v>
      </c>
      <c r="AJ62" s="2">
        <f t="shared" si="18"/>
        <v>4.4285714285714288</v>
      </c>
      <c r="AK62" s="2">
        <f t="shared" si="18"/>
        <v>4.2857142857142856</v>
      </c>
      <c r="AL62" s="2">
        <f t="shared" si="18"/>
        <v>4.4285714285714288</v>
      </c>
      <c r="AM62" s="2">
        <f t="shared" si="18"/>
        <v>4.4285714285714288</v>
      </c>
      <c r="AN62" s="2">
        <f t="shared" si="18"/>
        <v>4.2857142857142856</v>
      </c>
      <c r="AO62" s="3"/>
      <c r="AP62" s="4"/>
      <c r="AQ62" s="4"/>
      <c r="AR62" s="4"/>
      <c r="AS62" s="23"/>
      <c r="AT62" s="23"/>
      <c r="AU62" s="23"/>
      <c r="AV62" s="23"/>
      <c r="AW62" s="23"/>
      <c r="AX62" s="23"/>
    </row>
    <row r="63" spans="1:50" s="28" customFormat="1" x14ac:dyDescent="0.2">
      <c r="A63" s="34"/>
      <c r="B63" s="23"/>
      <c r="C63" s="332" t="s">
        <v>5</v>
      </c>
      <c r="D63" s="333"/>
      <c r="E63" s="333"/>
      <c r="F63" s="333"/>
      <c r="G63" s="1">
        <v>1</v>
      </c>
      <c r="H63" s="2">
        <f t="shared" ref="H63:L63" si="19">G63</f>
        <v>1</v>
      </c>
      <c r="I63" s="2">
        <f t="shared" si="19"/>
        <v>1</v>
      </c>
      <c r="J63" s="2">
        <f t="shared" si="19"/>
        <v>1</v>
      </c>
      <c r="K63" s="2">
        <f t="shared" si="19"/>
        <v>1</v>
      </c>
      <c r="L63" s="2">
        <f t="shared" si="19"/>
        <v>1</v>
      </c>
      <c r="M63" s="2">
        <v>1.05</v>
      </c>
      <c r="N63" s="2">
        <f t="shared" ref="N63:X63" si="20">M63</f>
        <v>1.05</v>
      </c>
      <c r="O63" s="2">
        <f t="shared" si="20"/>
        <v>1.05</v>
      </c>
      <c r="P63" s="2">
        <f t="shared" si="20"/>
        <v>1.05</v>
      </c>
      <c r="Q63" s="2">
        <f t="shared" si="20"/>
        <v>1.05</v>
      </c>
      <c r="R63" s="3">
        <f t="shared" si="20"/>
        <v>1.05</v>
      </c>
      <c r="S63" s="1">
        <f t="shared" si="20"/>
        <v>1.05</v>
      </c>
      <c r="T63" s="2">
        <f t="shared" si="20"/>
        <v>1.05</v>
      </c>
      <c r="U63" s="2">
        <f t="shared" si="20"/>
        <v>1.05</v>
      </c>
      <c r="V63" s="2">
        <f t="shared" si="20"/>
        <v>1.05</v>
      </c>
      <c r="W63" s="2">
        <f t="shared" si="20"/>
        <v>1.05</v>
      </c>
      <c r="X63" s="2">
        <f t="shared" si="20"/>
        <v>1.05</v>
      </c>
      <c r="Y63" s="2">
        <f>X63*1.05</f>
        <v>1.1025</v>
      </c>
      <c r="Z63" s="2">
        <f t="shared" ref="Z63" si="21">Y63</f>
        <v>1.1025</v>
      </c>
      <c r="AA63" s="2">
        <f>Z63</f>
        <v>1.1025</v>
      </c>
      <c r="AB63" s="2">
        <f>AA63</f>
        <v>1.1025</v>
      </c>
      <c r="AC63" s="2">
        <f>AB63</f>
        <v>1.1025</v>
      </c>
      <c r="AD63" s="3">
        <f>AC63</f>
        <v>1.1025</v>
      </c>
      <c r="AE63" s="149"/>
      <c r="AF63" s="2">
        <f>AD63</f>
        <v>1.1025</v>
      </c>
      <c r="AG63" s="2">
        <f t="shared" ref="AG63:AN63" si="22">AF63</f>
        <v>1.1025</v>
      </c>
      <c r="AH63" s="2">
        <f t="shared" si="22"/>
        <v>1.1025</v>
      </c>
      <c r="AI63" s="2">
        <f t="shared" si="22"/>
        <v>1.1025</v>
      </c>
      <c r="AJ63" s="2">
        <f t="shared" si="22"/>
        <v>1.1025</v>
      </c>
      <c r="AK63" s="2">
        <f t="shared" si="22"/>
        <v>1.1025</v>
      </c>
      <c r="AL63" s="2">
        <f t="shared" si="22"/>
        <v>1.1025</v>
      </c>
      <c r="AM63" s="2">
        <f t="shared" si="22"/>
        <v>1.1025</v>
      </c>
      <c r="AN63" s="2">
        <f t="shared" si="22"/>
        <v>1.1025</v>
      </c>
      <c r="AO63" s="3"/>
      <c r="AP63" s="4"/>
      <c r="AQ63" s="4"/>
      <c r="AR63" s="4"/>
      <c r="AS63" s="23"/>
      <c r="AT63" s="23"/>
      <c r="AU63" s="23"/>
      <c r="AV63" s="23"/>
      <c r="AW63" s="23"/>
      <c r="AX63" s="23"/>
    </row>
    <row r="64" spans="1:50" x14ac:dyDescent="0.2">
      <c r="A64" s="34"/>
      <c r="C64" s="29" t="s">
        <v>37</v>
      </c>
      <c r="D64" s="21"/>
      <c r="E64" s="61" t="s">
        <v>80</v>
      </c>
      <c r="F64" s="12"/>
      <c r="G64" s="5"/>
      <c r="H64" s="6"/>
      <c r="I64" s="6"/>
      <c r="J64" s="6"/>
      <c r="K64" s="6"/>
      <c r="L64" s="6"/>
      <c r="M64" s="6"/>
      <c r="N64" s="6"/>
      <c r="O64" s="6"/>
      <c r="P64" s="6"/>
      <c r="Q64" s="6"/>
      <c r="R64" s="15"/>
      <c r="S64" s="5"/>
      <c r="T64" s="6"/>
      <c r="U64" s="6"/>
      <c r="V64" s="6"/>
      <c r="W64" s="6"/>
      <c r="X64" s="6"/>
      <c r="Y64" s="6"/>
      <c r="Z64" s="6"/>
      <c r="AA64" s="6"/>
      <c r="AB64" s="6"/>
      <c r="AC64" s="6"/>
      <c r="AD64" s="7"/>
      <c r="AE64" s="15"/>
      <c r="AF64" s="6"/>
      <c r="AG64" s="6"/>
      <c r="AH64" s="6"/>
      <c r="AI64" s="6"/>
      <c r="AJ64" s="6"/>
      <c r="AK64" s="6"/>
      <c r="AL64" s="6"/>
      <c r="AM64" s="6"/>
      <c r="AN64" s="6"/>
      <c r="AO64" s="13"/>
      <c r="AP64" s="8"/>
      <c r="AQ64" s="8"/>
      <c r="AR64" s="8"/>
    </row>
    <row r="65" spans="1:45" x14ac:dyDescent="0.2">
      <c r="A65" s="35">
        <v>10876.281755196305</v>
      </c>
      <c r="C65" s="53"/>
      <c r="D65" s="58" t="s">
        <v>14</v>
      </c>
      <c r="E65" s="71">
        <f t="shared" ref="E65:E73" si="23">A65*0.8</f>
        <v>8701.0254041570442</v>
      </c>
      <c r="F65" s="54"/>
      <c r="G65" s="63"/>
      <c r="H65" s="41"/>
      <c r="I65" s="41"/>
      <c r="J65" s="41"/>
      <c r="K65" s="41"/>
      <c r="L65" s="41"/>
      <c r="M65" s="41">
        <v>0.1</v>
      </c>
      <c r="N65" s="41">
        <v>0.1</v>
      </c>
      <c r="O65" s="41">
        <v>0.25</v>
      </c>
      <c r="P65" s="41">
        <v>0.25</v>
      </c>
      <c r="Q65" s="41">
        <v>0.1</v>
      </c>
      <c r="R65" s="75">
        <v>0.1</v>
      </c>
      <c r="S65" s="63">
        <v>0.1</v>
      </c>
      <c r="T65" s="41">
        <v>0.1</v>
      </c>
      <c r="U65" s="41">
        <v>0.1</v>
      </c>
      <c r="V65" s="41">
        <v>0.1</v>
      </c>
      <c r="W65" s="41">
        <v>0.1</v>
      </c>
      <c r="X65" s="41">
        <v>0.1</v>
      </c>
      <c r="Y65" s="41">
        <v>0.1</v>
      </c>
      <c r="Z65" s="41">
        <v>0.1</v>
      </c>
      <c r="AA65" s="41">
        <v>0.1</v>
      </c>
      <c r="AB65" s="41">
        <v>0.1</v>
      </c>
      <c r="AC65" s="41">
        <v>0.1</v>
      </c>
      <c r="AD65" s="76">
        <v>0.1</v>
      </c>
      <c r="AE65" s="150"/>
      <c r="AF65" s="41">
        <v>0.1</v>
      </c>
      <c r="AG65" s="41">
        <v>0.1</v>
      </c>
      <c r="AH65" s="41">
        <v>0.1</v>
      </c>
      <c r="AI65" s="41">
        <v>0.1</v>
      </c>
      <c r="AJ65" s="41">
        <v>0.1</v>
      </c>
      <c r="AK65" s="41">
        <v>0.1</v>
      </c>
      <c r="AL65" s="41">
        <v>0.2</v>
      </c>
      <c r="AM65" s="41">
        <v>0.25</v>
      </c>
      <c r="AN65" s="41">
        <v>0.1</v>
      </c>
      <c r="AO65" s="52"/>
      <c r="AP65" s="30">
        <f>SUMPRODUCT(G65:AO65,$G$62:$AO$62,$G$63:$AO$63)*(E65)</f>
        <v>132959.28157274832</v>
      </c>
      <c r="AQ65" s="57">
        <f>COUNT(G65:AN65)</f>
        <v>27</v>
      </c>
      <c r="AR65" s="30">
        <f>AP65/AQ65</f>
        <v>4924.4178360277156</v>
      </c>
    </row>
    <row r="66" spans="1:45" x14ac:dyDescent="0.2">
      <c r="A66" s="35">
        <v>9887.5288683602776</v>
      </c>
      <c r="C66" s="53"/>
      <c r="D66" s="58" t="s">
        <v>12</v>
      </c>
      <c r="E66" s="71">
        <f t="shared" si="23"/>
        <v>7910.023094688222</v>
      </c>
      <c r="F66" s="54"/>
      <c r="G66" s="63"/>
      <c r="H66" s="41"/>
      <c r="I66" s="41"/>
      <c r="J66" s="41"/>
      <c r="K66" s="41">
        <v>0.1</v>
      </c>
      <c r="L66" s="41">
        <v>0.1</v>
      </c>
      <c r="M66" s="41">
        <v>0.25</v>
      </c>
      <c r="N66" s="41">
        <v>0.25</v>
      </c>
      <c r="O66" s="41">
        <v>0.25</v>
      </c>
      <c r="P66" s="41">
        <v>0.1</v>
      </c>
      <c r="Q66" s="41">
        <v>0.1</v>
      </c>
      <c r="R66" s="76">
        <v>0.1</v>
      </c>
      <c r="S66" s="63">
        <v>0.1</v>
      </c>
      <c r="T66" s="41">
        <v>0.1</v>
      </c>
      <c r="U66" s="41">
        <v>0.1</v>
      </c>
      <c r="V66" s="41">
        <v>0.05</v>
      </c>
      <c r="W66" s="41">
        <v>0.05</v>
      </c>
      <c r="X66" s="41">
        <v>0.05</v>
      </c>
      <c r="Y66" s="41">
        <v>0.05</v>
      </c>
      <c r="Z66" s="41">
        <v>0.05</v>
      </c>
      <c r="AA66" s="41">
        <v>0.05</v>
      </c>
      <c r="AB66" s="41">
        <v>0.05</v>
      </c>
      <c r="AC66" s="41">
        <v>0.05</v>
      </c>
      <c r="AD66" s="76">
        <v>0.05</v>
      </c>
      <c r="AE66" s="150"/>
      <c r="AF66" s="41">
        <v>0.05</v>
      </c>
      <c r="AG66" s="41">
        <v>0.05</v>
      </c>
      <c r="AH66" s="41">
        <v>0.05</v>
      </c>
      <c r="AI66" s="41">
        <v>0.05</v>
      </c>
      <c r="AJ66" s="41">
        <v>0.05</v>
      </c>
      <c r="AK66" s="41">
        <v>0.05</v>
      </c>
      <c r="AL66" s="41">
        <v>0.05</v>
      </c>
      <c r="AM66" s="41">
        <v>0.05</v>
      </c>
      <c r="AN66" s="41">
        <v>0.05</v>
      </c>
      <c r="AO66" s="52"/>
      <c r="AP66" s="30">
        <f t="shared" ref="AP66:AP72" si="24">SUMPRODUCT(G66:AO66,$G$62:$AO$62,$G$63:$AO$63)*(E66)</f>
        <v>89761.388323985491</v>
      </c>
      <c r="AQ66" s="57">
        <f t="shared" ref="AQ66:AQ73" si="25">COUNT(G66:AN66)</f>
        <v>29</v>
      </c>
      <c r="AR66" s="30">
        <f t="shared" ref="AR66:AR73" si="26">AP66/AQ66</f>
        <v>3095.2202870339825</v>
      </c>
    </row>
    <row r="67" spans="1:45" x14ac:dyDescent="0.2">
      <c r="A67" s="35">
        <v>6464.8960739030026</v>
      </c>
      <c r="C67" s="53"/>
      <c r="D67" s="58" t="s">
        <v>11</v>
      </c>
      <c r="E67" s="71">
        <f t="shared" si="23"/>
        <v>5171.9168591224025</v>
      </c>
      <c r="F67" s="54"/>
      <c r="G67" s="63"/>
      <c r="H67" s="41"/>
      <c r="I67" s="41"/>
      <c r="J67" s="41"/>
      <c r="K67" s="41">
        <v>0.1</v>
      </c>
      <c r="L67" s="41">
        <v>0.1</v>
      </c>
      <c r="M67" s="41">
        <v>0.25</v>
      </c>
      <c r="N67" s="41">
        <v>0.25</v>
      </c>
      <c r="O67" s="41">
        <v>0.25</v>
      </c>
      <c r="P67" s="41">
        <v>0.1</v>
      </c>
      <c r="Q67" s="41">
        <v>0.1</v>
      </c>
      <c r="R67" s="76">
        <v>0.25</v>
      </c>
      <c r="S67" s="41">
        <v>0.1</v>
      </c>
      <c r="T67" s="41">
        <v>0.1</v>
      </c>
      <c r="U67" s="41">
        <v>0.1</v>
      </c>
      <c r="V67" s="41">
        <v>0.1</v>
      </c>
      <c r="W67" s="41">
        <v>0.2</v>
      </c>
      <c r="X67" s="41">
        <v>0.2</v>
      </c>
      <c r="Y67" s="41">
        <v>0.2</v>
      </c>
      <c r="Z67" s="41">
        <v>0.2</v>
      </c>
      <c r="AA67" s="41">
        <v>0.2</v>
      </c>
      <c r="AB67" s="41">
        <v>0.2</v>
      </c>
      <c r="AC67" s="41">
        <v>0.2</v>
      </c>
      <c r="AD67" s="76">
        <v>0.2</v>
      </c>
      <c r="AE67" s="150"/>
      <c r="AF67" s="41">
        <v>0.2</v>
      </c>
      <c r="AG67" s="41">
        <v>0.2</v>
      </c>
      <c r="AH67" s="41">
        <v>0.2</v>
      </c>
      <c r="AI67" s="41">
        <v>0.2</v>
      </c>
      <c r="AJ67" s="41">
        <v>0.2</v>
      </c>
      <c r="AK67" s="41">
        <v>0.2</v>
      </c>
      <c r="AL67" s="41">
        <v>0.3</v>
      </c>
      <c r="AM67" s="41">
        <v>0.3</v>
      </c>
      <c r="AN67" s="41">
        <v>0.3</v>
      </c>
      <c r="AO67" s="52"/>
      <c r="AP67" s="30">
        <f t="shared" si="24"/>
        <v>133892.80018475754</v>
      </c>
      <c r="AQ67" s="57">
        <f t="shared" si="25"/>
        <v>29</v>
      </c>
      <c r="AR67" s="30">
        <f t="shared" si="26"/>
        <v>4616.9931098192255</v>
      </c>
    </row>
    <row r="68" spans="1:45" x14ac:dyDescent="0.2">
      <c r="A68" s="35">
        <v>5391.6859122401847</v>
      </c>
      <c r="C68" s="53"/>
      <c r="D68" s="58" t="s">
        <v>8</v>
      </c>
      <c r="E68" s="71">
        <f t="shared" si="23"/>
        <v>4313.3487297921483</v>
      </c>
      <c r="F68" s="54"/>
      <c r="G68" s="63">
        <v>0.5</v>
      </c>
      <c r="H68" s="41">
        <v>0.5</v>
      </c>
      <c r="I68" s="41">
        <v>0.25</v>
      </c>
      <c r="J68" s="41">
        <v>0.1</v>
      </c>
      <c r="K68" s="41">
        <v>0.1</v>
      </c>
      <c r="L68" s="41"/>
      <c r="M68" s="41"/>
      <c r="N68" s="41"/>
      <c r="O68" s="41"/>
      <c r="P68" s="41"/>
      <c r="Q68" s="41"/>
      <c r="R68" s="76"/>
      <c r="S68" s="63"/>
      <c r="T68" s="41"/>
      <c r="U68" s="41"/>
      <c r="V68" s="41"/>
      <c r="W68" s="41"/>
      <c r="X68" s="41"/>
      <c r="Y68" s="41"/>
      <c r="Z68" s="41"/>
      <c r="AA68" s="41"/>
      <c r="AB68" s="41"/>
      <c r="AC68" s="41"/>
      <c r="AD68" s="76"/>
      <c r="AE68" s="150"/>
      <c r="AF68" s="41"/>
      <c r="AG68" s="41"/>
      <c r="AH68" s="41"/>
      <c r="AI68" s="41"/>
      <c r="AJ68" s="41"/>
      <c r="AK68" s="41"/>
      <c r="AL68" s="41"/>
      <c r="AM68" s="41"/>
      <c r="AN68" s="41"/>
      <c r="AO68" s="52"/>
      <c r="AP68" s="30">
        <f t="shared" si="24"/>
        <v>26711.952490927091</v>
      </c>
      <c r="AQ68" s="57">
        <f>COUNT(G68:AN68)</f>
        <v>5</v>
      </c>
      <c r="AR68" s="30">
        <f t="shared" si="26"/>
        <v>5342.3904981854184</v>
      </c>
    </row>
    <row r="69" spans="1:45" x14ac:dyDescent="0.2">
      <c r="A69" s="35">
        <v>5391.6859122401847</v>
      </c>
      <c r="C69" s="53"/>
      <c r="D69" s="58" t="s">
        <v>9</v>
      </c>
      <c r="E69" s="71">
        <f t="shared" si="23"/>
        <v>4313.3487297921483</v>
      </c>
      <c r="F69" s="54"/>
      <c r="G69" s="63">
        <v>1</v>
      </c>
      <c r="H69" s="41">
        <v>1</v>
      </c>
      <c r="I69" s="41">
        <v>0.5</v>
      </c>
      <c r="J69" s="41">
        <v>0.25</v>
      </c>
      <c r="K69" s="41">
        <v>0.1</v>
      </c>
      <c r="L69" s="41">
        <v>0.1</v>
      </c>
      <c r="M69" s="41">
        <v>0.05</v>
      </c>
      <c r="N69" s="41">
        <v>0.05</v>
      </c>
      <c r="O69" s="41"/>
      <c r="P69" s="41"/>
      <c r="Q69" s="41"/>
      <c r="R69" s="76"/>
      <c r="S69" s="63"/>
      <c r="T69" s="41"/>
      <c r="U69" s="41"/>
      <c r="V69" s="41"/>
      <c r="W69" s="41"/>
      <c r="X69" s="41"/>
      <c r="Y69" s="41"/>
      <c r="Z69" s="41"/>
      <c r="AA69" s="41"/>
      <c r="AB69" s="41"/>
      <c r="AC69" s="41"/>
      <c r="AD69" s="76"/>
      <c r="AE69" s="150"/>
      <c r="AF69" s="41"/>
      <c r="AG69" s="41"/>
      <c r="AH69" s="41"/>
      <c r="AI69" s="41"/>
      <c r="AJ69" s="41"/>
      <c r="AK69" s="41"/>
      <c r="AL69" s="41"/>
      <c r="AM69" s="41"/>
      <c r="AN69" s="41"/>
      <c r="AO69" s="52"/>
      <c r="AP69" s="30">
        <f t="shared" si="24"/>
        <v>56292.281887165955</v>
      </c>
      <c r="AQ69" s="57">
        <f t="shared" si="25"/>
        <v>8</v>
      </c>
      <c r="AR69" s="30">
        <f t="shared" si="26"/>
        <v>7036.5352358957443</v>
      </c>
    </row>
    <row r="70" spans="1:45" x14ac:dyDescent="0.2">
      <c r="A70" s="35">
        <v>3004.1570438799076</v>
      </c>
      <c r="C70" s="53"/>
      <c r="D70" s="58" t="s">
        <v>10</v>
      </c>
      <c r="E70" s="71">
        <f t="shared" si="23"/>
        <v>2403.3256351039263</v>
      </c>
      <c r="F70" s="54"/>
      <c r="G70" s="63">
        <v>1</v>
      </c>
      <c r="H70" s="41">
        <v>1</v>
      </c>
      <c r="I70" s="41">
        <v>0.5</v>
      </c>
      <c r="J70" s="41">
        <v>0.25</v>
      </c>
      <c r="K70" s="41"/>
      <c r="L70" s="41"/>
      <c r="M70" s="41"/>
      <c r="N70" s="41"/>
      <c r="O70" s="41"/>
      <c r="P70" s="41"/>
      <c r="Q70" s="41"/>
      <c r="R70" s="76"/>
      <c r="S70" s="63"/>
      <c r="T70" s="41"/>
      <c r="U70" s="41"/>
      <c r="V70" s="41"/>
      <c r="W70" s="41"/>
      <c r="X70" s="41"/>
      <c r="Y70" s="41"/>
      <c r="Z70" s="41"/>
      <c r="AA70" s="41"/>
      <c r="AB70" s="41"/>
      <c r="AC70" s="41"/>
      <c r="AD70" s="76"/>
      <c r="AE70" s="150"/>
      <c r="AF70" s="41"/>
      <c r="AG70" s="41"/>
      <c r="AH70" s="41"/>
      <c r="AI70" s="41"/>
      <c r="AJ70" s="41"/>
      <c r="AK70" s="41"/>
      <c r="AL70" s="41"/>
      <c r="AM70" s="41"/>
      <c r="AN70" s="41"/>
      <c r="AO70" s="52"/>
      <c r="AP70" s="30">
        <f t="shared" si="24"/>
        <v>28153.243154074564</v>
      </c>
      <c r="AQ70" s="57">
        <f t="shared" si="25"/>
        <v>4</v>
      </c>
      <c r="AR70" s="30">
        <f t="shared" si="26"/>
        <v>7038.3107885186409</v>
      </c>
    </row>
    <row r="71" spans="1:45" x14ac:dyDescent="0.2">
      <c r="A71" s="35">
        <v>5057.7367205542723</v>
      </c>
      <c r="C71" s="53"/>
      <c r="D71" s="58" t="s">
        <v>29</v>
      </c>
      <c r="E71" s="71">
        <f t="shared" si="23"/>
        <v>4046.189376443418</v>
      </c>
      <c r="F71" s="54"/>
      <c r="G71" s="63">
        <v>1</v>
      </c>
      <c r="H71" s="41">
        <v>1</v>
      </c>
      <c r="I71" s="41">
        <v>0.5</v>
      </c>
      <c r="J71" s="41">
        <v>0.25</v>
      </c>
      <c r="K71" s="41">
        <v>0.1</v>
      </c>
      <c r="L71" s="41"/>
      <c r="M71" s="41"/>
      <c r="N71" s="41"/>
      <c r="O71" s="41"/>
      <c r="P71" s="41"/>
      <c r="Q71" s="41"/>
      <c r="R71" s="76"/>
      <c r="S71" s="63"/>
      <c r="T71" s="41"/>
      <c r="U71" s="41"/>
      <c r="V71" s="41"/>
      <c r="W71" s="41"/>
      <c r="X71" s="41"/>
      <c r="Y71" s="41"/>
      <c r="Z71" s="41"/>
      <c r="AA71" s="41"/>
      <c r="AB71" s="41"/>
      <c r="AC71" s="41"/>
      <c r="AD71" s="76"/>
      <c r="AE71" s="150"/>
      <c r="AF71" s="41"/>
      <c r="AG71" s="41"/>
      <c r="AH71" s="41"/>
      <c r="AI71" s="41"/>
      <c r="AJ71" s="41"/>
      <c r="AK71" s="41"/>
      <c r="AL71" s="41"/>
      <c r="AM71" s="41"/>
      <c r="AN71" s="41"/>
      <c r="AO71" s="52"/>
      <c r="AP71" s="30">
        <f t="shared" si="24"/>
        <v>49190.102276476406</v>
      </c>
      <c r="AQ71" s="57">
        <f t="shared" si="25"/>
        <v>5</v>
      </c>
      <c r="AR71" s="30">
        <f t="shared" si="26"/>
        <v>9838.0204552952819</v>
      </c>
    </row>
    <row r="72" spans="1:45" x14ac:dyDescent="0.2">
      <c r="A72" s="35">
        <v>4800</v>
      </c>
      <c r="C72" s="53"/>
      <c r="D72" s="58" t="s">
        <v>31</v>
      </c>
      <c r="E72" s="71">
        <f t="shared" si="23"/>
        <v>3840</v>
      </c>
      <c r="F72" s="54"/>
      <c r="G72" s="63">
        <v>1</v>
      </c>
      <c r="H72" s="41">
        <v>1</v>
      </c>
      <c r="I72" s="41">
        <v>1</v>
      </c>
      <c r="J72" s="41">
        <v>1</v>
      </c>
      <c r="K72" s="41">
        <v>0.5</v>
      </c>
      <c r="L72" s="41">
        <v>0.5</v>
      </c>
      <c r="M72" s="41">
        <v>0.25</v>
      </c>
      <c r="N72" s="41">
        <v>0.25</v>
      </c>
      <c r="O72" s="41">
        <v>0.25</v>
      </c>
      <c r="P72" s="41">
        <v>0.25</v>
      </c>
      <c r="Q72" s="41">
        <v>0.25</v>
      </c>
      <c r="R72" s="76">
        <v>0.5</v>
      </c>
      <c r="S72" s="63">
        <v>0.1</v>
      </c>
      <c r="T72" s="41">
        <v>0.1</v>
      </c>
      <c r="U72" s="41">
        <v>0.1</v>
      </c>
      <c r="V72" s="41">
        <v>0.1</v>
      </c>
      <c r="W72" s="41">
        <v>0.1</v>
      </c>
      <c r="X72" s="41">
        <v>0.1</v>
      </c>
      <c r="Y72" s="41">
        <v>0.1</v>
      </c>
      <c r="Z72" s="41">
        <v>0.1</v>
      </c>
      <c r="AA72" s="41">
        <v>0.1</v>
      </c>
      <c r="AB72" s="41">
        <v>0.1</v>
      </c>
      <c r="AC72" s="41">
        <v>0.1</v>
      </c>
      <c r="AD72" s="76">
        <v>0.1</v>
      </c>
      <c r="AE72" s="150"/>
      <c r="AF72" s="41">
        <v>0.1</v>
      </c>
      <c r="AG72" s="41">
        <v>0.1</v>
      </c>
      <c r="AH72" s="41">
        <v>0.1</v>
      </c>
      <c r="AI72" s="41">
        <v>0.1</v>
      </c>
      <c r="AJ72" s="41">
        <v>0.1</v>
      </c>
      <c r="AK72" s="41">
        <v>0.1</v>
      </c>
      <c r="AL72" s="41">
        <v>0.1</v>
      </c>
      <c r="AM72" s="41">
        <v>0.1</v>
      </c>
      <c r="AN72" s="41">
        <v>0.1</v>
      </c>
      <c r="AO72" s="52"/>
      <c r="AP72" s="30">
        <f t="shared" si="24"/>
        <v>151642.56</v>
      </c>
      <c r="AQ72" s="57">
        <f t="shared" si="25"/>
        <v>33</v>
      </c>
      <c r="AR72" s="30">
        <f t="shared" si="26"/>
        <v>4595.2290909090907</v>
      </c>
    </row>
    <row r="73" spans="1:45" x14ac:dyDescent="0.2">
      <c r="A73" s="35">
        <v>5800</v>
      </c>
      <c r="C73" s="53"/>
      <c r="D73" s="136" t="s">
        <v>43</v>
      </c>
      <c r="E73" s="71">
        <f t="shared" si="23"/>
        <v>4640</v>
      </c>
      <c r="F73" s="54"/>
      <c r="G73" s="63"/>
      <c r="H73" s="41"/>
      <c r="I73" s="41"/>
      <c r="J73" s="41"/>
      <c r="K73" s="41"/>
      <c r="L73" s="41"/>
      <c r="M73" s="41"/>
      <c r="N73" s="41"/>
      <c r="O73" s="41"/>
      <c r="P73" s="41"/>
      <c r="Q73" s="41"/>
      <c r="R73" s="76"/>
      <c r="S73" s="63"/>
      <c r="T73" s="41"/>
      <c r="U73" s="41"/>
      <c r="V73" s="41">
        <v>0.15</v>
      </c>
      <c r="W73" s="41">
        <v>0.15</v>
      </c>
      <c r="X73" s="41">
        <v>0.15</v>
      </c>
      <c r="Y73" s="41">
        <v>0.15</v>
      </c>
      <c r="Z73" s="41"/>
      <c r="AA73" s="41"/>
      <c r="AB73" s="41"/>
      <c r="AC73" s="41"/>
      <c r="AD73" s="76"/>
      <c r="AE73" s="150"/>
      <c r="AF73" s="41"/>
      <c r="AG73" s="41"/>
      <c r="AH73" s="41"/>
      <c r="AI73" s="41"/>
      <c r="AJ73" s="41"/>
      <c r="AK73" s="41"/>
      <c r="AL73" s="41"/>
      <c r="AM73" s="41"/>
      <c r="AN73" s="41"/>
      <c r="AO73" s="52"/>
      <c r="AP73" s="30">
        <f>SUMPRODUCT(G73:AO73,$G$62:$AO$62,$G$63:$AO$63)*(E73)</f>
        <v>12898.619999999999</v>
      </c>
      <c r="AQ73" s="57">
        <f t="shared" si="25"/>
        <v>4</v>
      </c>
      <c r="AR73" s="30">
        <f t="shared" si="26"/>
        <v>3224.6549999999997</v>
      </c>
    </row>
    <row r="74" spans="1:45" ht="16" thickBot="1" x14ac:dyDescent="0.25">
      <c r="A74" s="35"/>
      <c r="C74" s="53"/>
      <c r="D74" s="58"/>
      <c r="E74" s="71"/>
      <c r="F74" s="54"/>
      <c r="G74" s="63"/>
      <c r="H74" s="41"/>
      <c r="I74" s="41"/>
      <c r="J74" s="41"/>
      <c r="K74" s="41"/>
      <c r="L74" s="41"/>
      <c r="M74" s="41"/>
      <c r="N74" s="41"/>
      <c r="O74" s="41"/>
      <c r="P74" s="41"/>
      <c r="Q74" s="41"/>
      <c r="R74" s="76"/>
      <c r="S74" s="63"/>
      <c r="T74" s="41"/>
      <c r="U74" s="41"/>
      <c r="V74" s="41"/>
      <c r="W74" s="41"/>
      <c r="X74" s="41"/>
      <c r="Y74" s="41"/>
      <c r="Z74" s="41"/>
      <c r="AA74" s="41"/>
      <c r="AB74" s="41"/>
      <c r="AC74" s="41"/>
      <c r="AD74" s="76"/>
      <c r="AE74" s="150"/>
      <c r="AF74" s="41"/>
      <c r="AG74" s="41"/>
      <c r="AH74" s="41"/>
      <c r="AI74" s="41"/>
      <c r="AJ74" s="41"/>
      <c r="AK74" s="41"/>
      <c r="AL74" s="41"/>
      <c r="AM74" s="41"/>
      <c r="AN74" s="41"/>
      <c r="AO74" s="52"/>
      <c r="AP74" s="30"/>
      <c r="AQ74" s="57"/>
      <c r="AR74" s="56"/>
    </row>
    <row r="75" spans="1:45" s="23" customFormat="1" ht="16" thickBot="1" x14ac:dyDescent="0.25">
      <c r="A75"/>
      <c r="C75" s="327" t="s">
        <v>36</v>
      </c>
      <c r="D75" s="328"/>
      <c r="E75" s="329"/>
      <c r="F75" s="20"/>
      <c r="G75" s="98">
        <f t="shared" ref="G75:AN75" si="27">SUMPRODUCT(($E$65:$E$74),(G65:G74))*(G62)*(G63)</f>
        <v>74220.811613328944</v>
      </c>
      <c r="H75" s="98">
        <f t="shared" si="27"/>
        <v>67038.152424942265</v>
      </c>
      <c r="I75" s="98">
        <f t="shared" si="27"/>
        <v>45613.262949521617</v>
      </c>
      <c r="J75" s="98">
        <f t="shared" si="27"/>
        <v>29837.360607060375</v>
      </c>
      <c r="K75" s="98">
        <f t="shared" si="27"/>
        <v>19908.566149785551</v>
      </c>
      <c r="L75" s="98">
        <f t="shared" si="27"/>
        <v>15683.695150115474</v>
      </c>
      <c r="M75" s="98">
        <f t="shared" si="27"/>
        <v>24720.58558891455</v>
      </c>
      <c r="N75" s="98">
        <f t="shared" si="27"/>
        <v>24720.58558891455</v>
      </c>
      <c r="O75" s="98">
        <f t="shared" si="27"/>
        <v>28825.836027713623</v>
      </c>
      <c r="P75" s="98">
        <f t="shared" si="27"/>
        <v>20662.044110854509</v>
      </c>
      <c r="Q75" s="98">
        <f t="shared" si="27"/>
        <v>14122.33441108545</v>
      </c>
      <c r="R75" s="99">
        <f t="shared" si="27"/>
        <v>22664.490900692843</v>
      </c>
      <c r="S75" s="11">
        <f t="shared" si="27"/>
        <v>11914.678891454967</v>
      </c>
      <c r="T75" s="9">
        <f t="shared" si="27"/>
        <v>11145.989930715938</v>
      </c>
      <c r="U75" s="9">
        <f t="shared" si="27"/>
        <v>11914.678891454967</v>
      </c>
      <c r="V75" s="9">
        <f t="shared" si="27"/>
        <v>12882.579214780602</v>
      </c>
      <c r="W75" s="9">
        <f t="shared" si="27"/>
        <v>15716.939861431872</v>
      </c>
      <c r="X75" s="9">
        <f t="shared" si="27"/>
        <v>15209.941801385681</v>
      </c>
      <c r="Y75" s="9">
        <f t="shared" si="27"/>
        <v>16502.786854503465</v>
      </c>
      <c r="Z75" s="9">
        <f t="shared" si="27"/>
        <v>13104.566854503466</v>
      </c>
      <c r="AA75" s="9">
        <f t="shared" si="27"/>
        <v>12681.838891454967</v>
      </c>
      <c r="AB75" s="9">
        <f t="shared" si="27"/>
        <v>13104.566854503466</v>
      </c>
      <c r="AC75" s="9">
        <f t="shared" si="27"/>
        <v>12681.838891454967</v>
      </c>
      <c r="AD75" s="10">
        <f t="shared" si="27"/>
        <v>13104.566854503466</v>
      </c>
      <c r="AE75" s="138">
        <f t="shared" si="27"/>
        <v>0</v>
      </c>
      <c r="AF75" s="9">
        <f t="shared" si="27"/>
        <v>13104.566854503466</v>
      </c>
      <c r="AG75" s="9">
        <f t="shared" si="27"/>
        <v>11836.382965357969</v>
      </c>
      <c r="AH75" s="9">
        <f t="shared" si="27"/>
        <v>13104.566854503466</v>
      </c>
      <c r="AI75" s="9">
        <f t="shared" si="27"/>
        <v>12681.838891454967</v>
      </c>
      <c r="AJ75" s="9">
        <f t="shared" si="27"/>
        <v>13104.566854503466</v>
      </c>
      <c r="AK75" s="9">
        <f t="shared" si="27"/>
        <v>12681.838891454967</v>
      </c>
      <c r="AL75" s="9">
        <f t="shared" si="27"/>
        <v>19878.030914549658</v>
      </c>
      <c r="AM75" s="9">
        <f t="shared" si="27"/>
        <v>22002.168741339498</v>
      </c>
      <c r="AN75" s="9">
        <f t="shared" si="27"/>
        <v>15125.5696073903</v>
      </c>
      <c r="AO75" s="14"/>
      <c r="AP75" s="19">
        <f>SUM(G75:AN75)</f>
        <v>681502.22989013523</v>
      </c>
      <c r="AQ75" s="106">
        <f>COUNT(G75:AN75)</f>
        <v>34</v>
      </c>
      <c r="AR75" s="18">
        <f>AP75/AQ75</f>
        <v>20044.183232062802</v>
      </c>
      <c r="AS75" s="49"/>
    </row>
    <row r="76" spans="1:45" customFormat="1" ht="6" customHeight="1" thickBot="1" x14ac:dyDescent="0.25"/>
    <row r="77" spans="1:45" s="23" customFormat="1" x14ac:dyDescent="0.2">
      <c r="A77"/>
      <c r="C77" s="86" t="s">
        <v>33</v>
      </c>
      <c r="D77" s="87"/>
      <c r="E77" s="341" t="s">
        <v>61</v>
      </c>
      <c r="F77" s="342"/>
      <c r="G77" s="90"/>
      <c r="H77" s="91"/>
      <c r="I77" s="91"/>
      <c r="J77" s="91"/>
      <c r="K77" s="91"/>
      <c r="L77" s="91"/>
      <c r="M77" s="91"/>
      <c r="N77" s="91"/>
      <c r="O77" s="91"/>
      <c r="P77" s="91"/>
      <c r="Q77" s="91"/>
      <c r="R77" s="92"/>
      <c r="S77" s="90"/>
      <c r="T77" s="91"/>
      <c r="U77" s="91"/>
      <c r="V77" s="91"/>
      <c r="W77" s="91"/>
      <c r="X77" s="91"/>
      <c r="Y77" s="91"/>
      <c r="Z77" s="91"/>
      <c r="AA77" s="91"/>
      <c r="AB77" s="91"/>
      <c r="AC77" s="91"/>
      <c r="AD77" s="93"/>
      <c r="AE77" s="145"/>
      <c r="AF77" s="142"/>
      <c r="AG77" s="139"/>
      <c r="AH77" s="139"/>
      <c r="AI77" s="139"/>
      <c r="AJ77" s="139"/>
      <c r="AK77" s="139"/>
      <c r="AL77" s="139"/>
      <c r="AM77" s="139"/>
      <c r="AN77" s="140"/>
      <c r="AO77" s="94"/>
      <c r="AP77" s="95"/>
      <c r="AQ77" s="95"/>
      <c r="AR77" s="95"/>
    </row>
    <row r="78" spans="1:45" s="23" customFormat="1" x14ac:dyDescent="0.2">
      <c r="A78" s="35">
        <f>$F$2*0.00001</f>
        <v>750.00000000000011</v>
      </c>
      <c r="C78" s="53"/>
      <c r="D78" s="58" t="s">
        <v>20</v>
      </c>
      <c r="E78" s="337"/>
      <c r="F78" s="338"/>
      <c r="G78" s="77"/>
      <c r="H78" s="78"/>
      <c r="I78" s="78">
        <f>$A$84</f>
        <v>750.00000000000011</v>
      </c>
      <c r="J78" s="78">
        <f>$A$84</f>
        <v>750.00000000000011</v>
      </c>
      <c r="K78" s="78">
        <f>$A$84</f>
        <v>750.00000000000011</v>
      </c>
      <c r="L78" s="78">
        <f>$A$84</f>
        <v>750.00000000000011</v>
      </c>
      <c r="M78" s="78">
        <f>$A$84*0.8</f>
        <v>600.00000000000011</v>
      </c>
      <c r="N78" s="78">
        <f>$A$84*0.8</f>
        <v>600.00000000000011</v>
      </c>
      <c r="O78" s="78">
        <f>$A$84*0.8</f>
        <v>600.00000000000011</v>
      </c>
      <c r="P78" s="78">
        <f>$A$84*0.6</f>
        <v>450.00000000000006</v>
      </c>
      <c r="Q78" s="78">
        <f>$A$84*0.6</f>
        <v>450.00000000000006</v>
      </c>
      <c r="R78" s="137">
        <f>$A$84</f>
        <v>750.00000000000011</v>
      </c>
      <c r="S78" s="144">
        <f t="shared" ref="S78:AD78" si="28">$A$84*0.6</f>
        <v>450.00000000000006</v>
      </c>
      <c r="T78" s="78">
        <f t="shared" si="28"/>
        <v>450.00000000000006</v>
      </c>
      <c r="U78" s="78">
        <f t="shared" si="28"/>
        <v>450.00000000000006</v>
      </c>
      <c r="V78" s="78">
        <f t="shared" si="28"/>
        <v>450.00000000000006</v>
      </c>
      <c r="W78" s="78">
        <f t="shared" si="28"/>
        <v>450.00000000000006</v>
      </c>
      <c r="X78" s="78">
        <f t="shared" si="28"/>
        <v>450.00000000000006</v>
      </c>
      <c r="Y78" s="78">
        <f t="shared" si="28"/>
        <v>450.00000000000006</v>
      </c>
      <c r="Z78" s="78">
        <f t="shared" si="28"/>
        <v>450.00000000000006</v>
      </c>
      <c r="AA78" s="78">
        <f t="shared" si="28"/>
        <v>450.00000000000006</v>
      </c>
      <c r="AB78" s="78">
        <f t="shared" si="28"/>
        <v>450.00000000000006</v>
      </c>
      <c r="AC78" s="78">
        <f t="shared" si="28"/>
        <v>450.00000000000006</v>
      </c>
      <c r="AD78" s="168">
        <f t="shared" si="28"/>
        <v>450.00000000000006</v>
      </c>
      <c r="AE78" s="113"/>
      <c r="AF78" s="80">
        <f t="shared" ref="AF78:AN78" si="29">$A$84*0.6</f>
        <v>450.00000000000006</v>
      </c>
      <c r="AG78" s="78">
        <f t="shared" si="29"/>
        <v>450.00000000000006</v>
      </c>
      <c r="AH78" s="78">
        <f t="shared" si="29"/>
        <v>450.00000000000006</v>
      </c>
      <c r="AI78" s="78">
        <f t="shared" si="29"/>
        <v>450.00000000000006</v>
      </c>
      <c r="AJ78" s="78">
        <f t="shared" si="29"/>
        <v>450.00000000000006</v>
      </c>
      <c r="AK78" s="78">
        <f t="shared" si="29"/>
        <v>450.00000000000006</v>
      </c>
      <c r="AL78" s="78">
        <f t="shared" si="29"/>
        <v>450.00000000000006</v>
      </c>
      <c r="AM78" s="78">
        <f t="shared" si="29"/>
        <v>450.00000000000006</v>
      </c>
      <c r="AN78" s="78">
        <f t="shared" si="29"/>
        <v>450.00000000000006</v>
      </c>
      <c r="AO78" s="52"/>
      <c r="AP78" s="141">
        <f>SUM(G78:AO78)</f>
        <v>15900.000000000002</v>
      </c>
      <c r="AQ78" s="57">
        <f>COUNT(G78:AN78)</f>
        <v>31</v>
      </c>
      <c r="AR78" s="30">
        <f>AP78/AQ78</f>
        <v>512.9032258064517</v>
      </c>
    </row>
    <row r="79" spans="1:45" s="23" customFormat="1" x14ac:dyDescent="0.2">
      <c r="A79" s="35">
        <f>$F$2*0.00001</f>
        <v>750.00000000000011</v>
      </c>
      <c r="C79" s="53"/>
      <c r="D79" s="58" t="s">
        <v>21</v>
      </c>
      <c r="E79" s="339"/>
      <c r="F79" s="340"/>
      <c r="G79" s="77"/>
      <c r="H79" s="78">
        <f>$A$78*2</f>
        <v>1500.0000000000002</v>
      </c>
      <c r="I79" s="78">
        <f t="shared" ref="I79:J79" si="30">$A$78*2</f>
        <v>1500.0000000000002</v>
      </c>
      <c r="J79" s="78">
        <f t="shared" si="30"/>
        <v>1500.0000000000002</v>
      </c>
      <c r="K79" s="78">
        <f>$A$78*4</f>
        <v>3000.0000000000005</v>
      </c>
      <c r="L79" s="78">
        <f>$A$78*6</f>
        <v>4500.0000000000009</v>
      </c>
      <c r="M79" s="78">
        <f t="shared" ref="M79:O79" si="31">$A$78*6</f>
        <v>4500.0000000000009</v>
      </c>
      <c r="N79" s="78">
        <f t="shared" si="31"/>
        <v>4500.0000000000009</v>
      </c>
      <c r="O79" s="78">
        <f t="shared" si="31"/>
        <v>4500.0000000000009</v>
      </c>
      <c r="P79" s="78">
        <f t="shared" ref="P79:Q79" si="32">$A$78*4</f>
        <v>3000.0000000000005</v>
      </c>
      <c r="Q79" s="78">
        <f t="shared" si="32"/>
        <v>3000.0000000000005</v>
      </c>
      <c r="R79" s="78">
        <f t="shared" ref="R79" si="33">$A$78*6</f>
        <v>4500.0000000000009</v>
      </c>
      <c r="S79" s="144">
        <f>$A$79*0.4</f>
        <v>300.00000000000006</v>
      </c>
      <c r="T79" s="78">
        <f t="shared" ref="T79:W79" si="34">$A$79*0.4</f>
        <v>300.00000000000006</v>
      </c>
      <c r="U79" s="78">
        <f t="shared" si="34"/>
        <v>300.00000000000006</v>
      </c>
      <c r="V79" s="78">
        <f t="shared" si="34"/>
        <v>300.00000000000006</v>
      </c>
      <c r="W79" s="78">
        <f t="shared" si="34"/>
        <v>300.00000000000006</v>
      </c>
      <c r="X79" s="78">
        <f>$A$79*2</f>
        <v>1500.0000000000002</v>
      </c>
      <c r="Y79" s="78">
        <f>$A$79*4</f>
        <v>3000.0000000000005</v>
      </c>
      <c r="Z79" s="78">
        <f t="shared" ref="Z79:AC79" si="35">$A$79*4</f>
        <v>3000.0000000000005</v>
      </c>
      <c r="AA79" s="78">
        <f t="shared" si="35"/>
        <v>3000.0000000000005</v>
      </c>
      <c r="AB79" s="78">
        <f t="shared" si="35"/>
        <v>3000.0000000000005</v>
      </c>
      <c r="AC79" s="78">
        <f t="shared" si="35"/>
        <v>3000.0000000000005</v>
      </c>
      <c r="AD79" s="79">
        <f>$A$79*2</f>
        <v>1500.0000000000002</v>
      </c>
      <c r="AE79" s="113"/>
      <c r="AF79" s="80">
        <f t="shared" ref="AF79:AI79" si="36">$A$79*2</f>
        <v>1500.0000000000002</v>
      </c>
      <c r="AG79" s="78">
        <f t="shared" si="36"/>
        <v>1500.0000000000002</v>
      </c>
      <c r="AH79" s="78">
        <f t="shared" si="36"/>
        <v>1500.0000000000002</v>
      </c>
      <c r="AI79" s="78">
        <f t="shared" si="36"/>
        <v>1500.0000000000002</v>
      </c>
      <c r="AJ79" s="78">
        <f>$A$79*0.4</f>
        <v>300.00000000000006</v>
      </c>
      <c r="AK79" s="78">
        <f t="shared" ref="AK79:AN79" si="37">$A$79*0.4</f>
        <v>300.00000000000006</v>
      </c>
      <c r="AL79" s="78">
        <f t="shared" si="37"/>
        <v>300.00000000000006</v>
      </c>
      <c r="AM79" s="78">
        <f t="shared" si="37"/>
        <v>300.00000000000006</v>
      </c>
      <c r="AN79" s="78">
        <f t="shared" si="37"/>
        <v>300.00000000000006</v>
      </c>
      <c r="AO79" s="52"/>
      <c r="AP79" s="141">
        <f t="shared" ref="AP79:AP85" si="38">SUM(G79:AO79)</f>
        <v>63000.000000000007</v>
      </c>
      <c r="AQ79" s="57">
        <f t="shared" ref="AQ79:AQ83" si="39">COUNT(G79:AN79)</f>
        <v>32</v>
      </c>
      <c r="AR79" s="30">
        <f t="shared" ref="AR79:AR85" si="40">AP79/AQ79</f>
        <v>1968.7500000000002</v>
      </c>
    </row>
    <row r="80" spans="1:45" s="23" customFormat="1" x14ac:dyDescent="0.2">
      <c r="A80" s="169">
        <f>(F47*0.025*0.025)/12</f>
        <v>3906.25</v>
      </c>
      <c r="C80" s="53"/>
      <c r="D80" s="58" t="s">
        <v>58</v>
      </c>
      <c r="E80" s="339" t="s">
        <v>84</v>
      </c>
      <c r="F80" s="340"/>
      <c r="G80" s="77"/>
      <c r="H80" s="78"/>
      <c r="I80" s="78"/>
      <c r="J80" s="78"/>
      <c r="K80" s="78"/>
      <c r="L80" s="78"/>
      <c r="M80" s="78"/>
      <c r="N80" s="78"/>
      <c r="O80" s="78"/>
      <c r="P80" s="78"/>
      <c r="Q80" s="78"/>
      <c r="R80" s="79"/>
      <c r="S80" s="80">
        <f>$A$80</f>
        <v>3906.25</v>
      </c>
      <c r="T80" s="78">
        <f>$A$80</f>
        <v>3906.25</v>
      </c>
      <c r="U80" s="78">
        <f t="shared" ref="U80:AN80" si="41">$A$80</f>
        <v>3906.25</v>
      </c>
      <c r="V80" s="78">
        <f t="shared" si="41"/>
        <v>3906.25</v>
      </c>
      <c r="W80" s="78">
        <f t="shared" si="41"/>
        <v>3906.25</v>
      </c>
      <c r="X80" s="78">
        <f t="shared" si="41"/>
        <v>3906.25</v>
      </c>
      <c r="Y80" s="78">
        <f t="shared" si="41"/>
        <v>3906.25</v>
      </c>
      <c r="Z80" s="78">
        <f t="shared" si="41"/>
        <v>3906.25</v>
      </c>
      <c r="AA80" s="78">
        <f t="shared" si="41"/>
        <v>3906.25</v>
      </c>
      <c r="AB80" s="78">
        <f t="shared" si="41"/>
        <v>3906.25</v>
      </c>
      <c r="AC80" s="78">
        <f t="shared" si="41"/>
        <v>3906.25</v>
      </c>
      <c r="AD80" s="79">
        <f t="shared" si="41"/>
        <v>3906.25</v>
      </c>
      <c r="AE80" s="113"/>
      <c r="AF80" s="80">
        <f t="shared" si="41"/>
        <v>3906.25</v>
      </c>
      <c r="AG80" s="78">
        <f t="shared" si="41"/>
        <v>3906.25</v>
      </c>
      <c r="AH80" s="78">
        <f t="shared" si="41"/>
        <v>3906.25</v>
      </c>
      <c r="AI80" s="78">
        <f t="shared" si="41"/>
        <v>3906.25</v>
      </c>
      <c r="AJ80" s="78">
        <f t="shared" si="41"/>
        <v>3906.25</v>
      </c>
      <c r="AK80" s="78">
        <f t="shared" si="41"/>
        <v>3906.25</v>
      </c>
      <c r="AL80" s="78">
        <f t="shared" si="41"/>
        <v>3906.25</v>
      </c>
      <c r="AM80" s="78">
        <f t="shared" si="41"/>
        <v>3906.25</v>
      </c>
      <c r="AN80" s="78">
        <f t="shared" si="41"/>
        <v>3906.25</v>
      </c>
      <c r="AO80" s="52"/>
      <c r="AP80" s="141">
        <f t="shared" si="38"/>
        <v>82031.25</v>
      </c>
      <c r="AQ80" s="57">
        <f>COUNT(G80:AN80)</f>
        <v>21</v>
      </c>
      <c r="AR80" s="30">
        <f t="shared" si="40"/>
        <v>3906.25</v>
      </c>
    </row>
    <row r="81" spans="1:45" s="23" customFormat="1" x14ac:dyDescent="0.2">
      <c r="A81" s="35">
        <f>$F$2*0.00001</f>
        <v>750.00000000000011</v>
      </c>
      <c r="C81" s="53"/>
      <c r="D81" s="58" t="s">
        <v>22</v>
      </c>
      <c r="E81" s="339"/>
      <c r="F81" s="340"/>
      <c r="G81" s="77">
        <v>1000</v>
      </c>
      <c r="H81" s="78">
        <v>1000</v>
      </c>
      <c r="I81" s="78">
        <v>1000</v>
      </c>
      <c r="J81" s="78">
        <v>500</v>
      </c>
      <c r="K81" s="78">
        <v>500</v>
      </c>
      <c r="L81" s="78"/>
      <c r="M81" s="78"/>
      <c r="N81" s="78"/>
      <c r="O81" s="78"/>
      <c r="P81" s="78"/>
      <c r="Q81" s="78"/>
      <c r="R81" s="79"/>
      <c r="S81" s="80"/>
      <c r="T81" s="78"/>
      <c r="U81" s="78"/>
      <c r="V81" s="78"/>
      <c r="W81" s="78"/>
      <c r="X81" s="78"/>
      <c r="Y81" s="78"/>
      <c r="Z81" s="78"/>
      <c r="AA81" s="78"/>
      <c r="AB81" s="78"/>
      <c r="AC81" s="78"/>
      <c r="AD81" s="79"/>
      <c r="AE81" s="113"/>
      <c r="AF81" s="80"/>
      <c r="AG81" s="78"/>
      <c r="AH81" s="78"/>
      <c r="AI81" s="78"/>
      <c r="AJ81" s="78"/>
      <c r="AK81" s="78"/>
      <c r="AL81" s="78"/>
      <c r="AM81" s="78"/>
      <c r="AN81" s="78"/>
      <c r="AO81" s="52"/>
      <c r="AP81" s="141">
        <f t="shared" si="38"/>
        <v>4000</v>
      </c>
      <c r="AQ81" s="57">
        <f t="shared" si="39"/>
        <v>5</v>
      </c>
      <c r="AR81" s="30">
        <f t="shared" si="40"/>
        <v>800</v>
      </c>
    </row>
    <row r="82" spans="1:45" s="23" customFormat="1" x14ac:dyDescent="0.2">
      <c r="A82" s="35">
        <f>$F$2*0.00001</f>
        <v>750.00000000000011</v>
      </c>
      <c r="C82" s="53"/>
      <c r="D82" s="58" t="s">
        <v>19</v>
      </c>
      <c r="E82" s="339"/>
      <c r="F82" s="340"/>
      <c r="G82" s="77"/>
      <c r="H82" s="78"/>
      <c r="I82" s="78">
        <f>$A$82</f>
        <v>750.00000000000011</v>
      </c>
      <c r="J82" s="78">
        <f>$A$82</f>
        <v>750.00000000000011</v>
      </c>
      <c r="K82" s="78"/>
      <c r="L82" s="78"/>
      <c r="M82" s="78"/>
      <c r="N82" s="78"/>
      <c r="O82" s="78"/>
      <c r="P82" s="78"/>
      <c r="Q82" s="78"/>
      <c r="R82" s="79"/>
      <c r="S82" s="80"/>
      <c r="T82" s="78"/>
      <c r="U82" s="78"/>
      <c r="V82" s="78"/>
      <c r="W82" s="78"/>
      <c r="X82" s="78">
        <f>$A$82*2</f>
        <v>1500.0000000000002</v>
      </c>
      <c r="Y82" s="78">
        <f t="shared" ref="Y82:AA82" si="42">$A$82*2</f>
        <v>1500.0000000000002</v>
      </c>
      <c r="Z82" s="78">
        <f t="shared" si="42"/>
        <v>1500.0000000000002</v>
      </c>
      <c r="AA82" s="78">
        <f t="shared" si="42"/>
        <v>1500.0000000000002</v>
      </c>
      <c r="AB82" s="78"/>
      <c r="AC82" s="78"/>
      <c r="AD82" s="79"/>
      <c r="AE82" s="113"/>
      <c r="AF82" s="80"/>
      <c r="AG82" s="78"/>
      <c r="AH82" s="78"/>
      <c r="AI82" s="78"/>
      <c r="AJ82" s="78"/>
      <c r="AK82" s="78"/>
      <c r="AL82" s="78"/>
      <c r="AM82" s="78"/>
      <c r="AN82" s="78"/>
      <c r="AO82" s="52"/>
      <c r="AP82" s="141">
        <f t="shared" si="38"/>
        <v>7500.0000000000009</v>
      </c>
      <c r="AQ82" s="57">
        <f t="shared" si="39"/>
        <v>6</v>
      </c>
      <c r="AR82" s="30">
        <f t="shared" si="40"/>
        <v>1250.0000000000002</v>
      </c>
    </row>
    <row r="83" spans="1:45" s="23" customFormat="1" x14ac:dyDescent="0.2">
      <c r="A83" s="35">
        <f>$F$2*0.00001</f>
        <v>750.00000000000011</v>
      </c>
      <c r="C83" s="53"/>
      <c r="D83" s="58" t="s">
        <v>23</v>
      </c>
      <c r="E83" s="339"/>
      <c r="F83" s="340"/>
      <c r="G83" s="77"/>
      <c r="H83" s="78"/>
      <c r="I83" s="78"/>
      <c r="J83" s="78"/>
      <c r="K83" s="78"/>
      <c r="L83" s="78"/>
      <c r="M83" s="78"/>
      <c r="N83" s="78"/>
      <c r="O83" s="78"/>
      <c r="P83" s="78"/>
      <c r="Q83" s="78"/>
      <c r="R83" s="79"/>
      <c r="S83" s="80"/>
      <c r="T83" s="78"/>
      <c r="U83" s="78"/>
      <c r="V83" s="78"/>
      <c r="W83" s="78">
        <f>$A$83*4</f>
        <v>3000.0000000000005</v>
      </c>
      <c r="X83" s="78">
        <f>$A$83*4</f>
        <v>3000.0000000000005</v>
      </c>
      <c r="Y83" s="78">
        <f>$A$83*4</f>
        <v>3000.0000000000005</v>
      </c>
      <c r="Z83" s="78">
        <f>$A$83*4</f>
        <v>3000.0000000000005</v>
      </c>
      <c r="AA83" s="78">
        <f>$A$83*4</f>
        <v>3000.0000000000005</v>
      </c>
      <c r="AB83" s="78">
        <f>$A$83*2</f>
        <v>1500.0000000000002</v>
      </c>
      <c r="AC83" s="78">
        <f t="shared" ref="AC83:AJ83" si="43">$A$83*2</f>
        <v>1500.0000000000002</v>
      </c>
      <c r="AD83" s="79">
        <f t="shared" si="43"/>
        <v>1500.0000000000002</v>
      </c>
      <c r="AE83" s="113"/>
      <c r="AF83" s="80">
        <f t="shared" si="43"/>
        <v>1500.0000000000002</v>
      </c>
      <c r="AG83" s="78">
        <f t="shared" si="43"/>
        <v>1500.0000000000002</v>
      </c>
      <c r="AH83" s="78">
        <f t="shared" si="43"/>
        <v>1500.0000000000002</v>
      </c>
      <c r="AI83" s="78">
        <f t="shared" si="43"/>
        <v>1500.0000000000002</v>
      </c>
      <c r="AJ83" s="78">
        <f t="shared" si="43"/>
        <v>1500.0000000000002</v>
      </c>
      <c r="AK83" s="78">
        <f t="shared" ref="AK83:AM83" si="44">$A$83*4</f>
        <v>3000.0000000000005</v>
      </c>
      <c r="AL83" s="78">
        <f t="shared" si="44"/>
        <v>3000.0000000000005</v>
      </c>
      <c r="AM83" s="78">
        <f t="shared" si="44"/>
        <v>3000.0000000000005</v>
      </c>
      <c r="AN83" s="78"/>
      <c r="AO83" s="52"/>
      <c r="AP83" s="141">
        <f t="shared" si="38"/>
        <v>36000.000000000007</v>
      </c>
      <c r="AQ83" s="57">
        <f t="shared" si="39"/>
        <v>16</v>
      </c>
      <c r="AR83" s="30">
        <f t="shared" si="40"/>
        <v>2250.0000000000005</v>
      </c>
    </row>
    <row r="84" spans="1:45" s="23" customFormat="1" x14ac:dyDescent="0.2">
      <c r="A84" s="35">
        <f>$F$2*0.00001</f>
        <v>750.00000000000011</v>
      </c>
      <c r="C84" s="53"/>
      <c r="D84" s="58" t="s">
        <v>25</v>
      </c>
      <c r="E84" s="339"/>
      <c r="F84" s="340"/>
      <c r="G84" s="77"/>
      <c r="H84" s="78"/>
      <c r="I84" s="78"/>
      <c r="J84" s="78"/>
      <c r="K84" s="78"/>
      <c r="L84" s="78"/>
      <c r="M84" s="78"/>
      <c r="N84" s="78"/>
      <c r="O84" s="78"/>
      <c r="P84" s="81"/>
      <c r="Q84" s="81"/>
      <c r="R84" s="82"/>
      <c r="S84" s="83"/>
      <c r="T84" s="81"/>
      <c r="U84" s="81"/>
      <c r="V84" s="81"/>
      <c r="W84" s="81"/>
      <c r="X84" s="78">
        <f>$A$84*4</f>
        <v>3000.0000000000005</v>
      </c>
      <c r="Y84" s="78">
        <f t="shared" ref="Y84:AB84" si="45">$A$84*4</f>
        <v>3000.0000000000005</v>
      </c>
      <c r="Z84" s="78">
        <f t="shared" si="45"/>
        <v>3000.0000000000005</v>
      </c>
      <c r="AA84" s="78">
        <f t="shared" si="45"/>
        <v>3000.0000000000005</v>
      </c>
      <c r="AB84" s="78">
        <f t="shared" si="45"/>
        <v>3000.0000000000005</v>
      </c>
      <c r="AC84" s="81"/>
      <c r="AD84" s="84"/>
      <c r="AE84" s="115"/>
      <c r="AF84" s="80"/>
      <c r="AG84" s="78"/>
      <c r="AH84" s="78"/>
      <c r="AI84" s="78"/>
      <c r="AJ84" s="78"/>
      <c r="AK84" s="78"/>
      <c r="AL84" s="78"/>
      <c r="AM84" s="78"/>
      <c r="AN84" s="78"/>
      <c r="AO84" s="52"/>
      <c r="AP84" s="141">
        <f t="shared" si="38"/>
        <v>15000.000000000002</v>
      </c>
      <c r="AQ84" s="57">
        <f>COUNT(G84:AN84)</f>
        <v>5</v>
      </c>
      <c r="AR84" s="30">
        <f t="shared" si="40"/>
        <v>3000.0000000000005</v>
      </c>
    </row>
    <row r="85" spans="1:45" s="23" customFormat="1" x14ac:dyDescent="0.2">
      <c r="A85" s="35">
        <f>$F$2*0.00001</f>
        <v>750.00000000000011</v>
      </c>
      <c r="C85" s="53"/>
      <c r="D85" s="58" t="s">
        <v>44</v>
      </c>
      <c r="E85" s="339"/>
      <c r="F85" s="340"/>
      <c r="G85" s="77"/>
      <c r="H85" s="78"/>
      <c r="I85" s="78"/>
      <c r="J85" s="78"/>
      <c r="K85" s="78"/>
      <c r="L85" s="78"/>
      <c r="M85" s="78"/>
      <c r="N85" s="78"/>
      <c r="O85" s="78"/>
      <c r="P85" s="81"/>
      <c r="Q85" s="81"/>
      <c r="R85" s="82"/>
      <c r="S85" s="83"/>
      <c r="T85" s="81"/>
      <c r="U85" s="81"/>
      <c r="V85" s="81"/>
      <c r="W85" s="81"/>
      <c r="X85" s="81"/>
      <c r="Y85" s="81"/>
      <c r="Z85" s="81"/>
      <c r="AA85" s="81"/>
      <c r="AB85" s="81"/>
      <c r="AC85" s="81"/>
      <c r="AD85" s="84"/>
      <c r="AE85" s="115"/>
      <c r="AF85" s="80"/>
      <c r="AG85" s="78"/>
      <c r="AH85" s="78"/>
      <c r="AI85" s="78"/>
      <c r="AJ85" s="78"/>
      <c r="AK85" s="78"/>
      <c r="AL85" s="78"/>
      <c r="AM85" s="78"/>
      <c r="AN85" s="78">
        <f>$A$85*100</f>
        <v>75000.000000000015</v>
      </c>
      <c r="AO85" s="52"/>
      <c r="AP85" s="141">
        <f t="shared" si="38"/>
        <v>75000.000000000015</v>
      </c>
      <c r="AQ85" s="57">
        <f>COUNT(G85:AN85)</f>
        <v>1</v>
      </c>
      <c r="AR85" s="30">
        <f t="shared" si="40"/>
        <v>75000.000000000015</v>
      </c>
    </row>
    <row r="86" spans="1:45" s="23" customFormat="1" x14ac:dyDescent="0.2">
      <c r="A86" s="35"/>
      <c r="C86" s="53"/>
      <c r="D86" s="58" t="s">
        <v>24</v>
      </c>
      <c r="E86" s="339" t="s">
        <v>60</v>
      </c>
      <c r="F86" s="340"/>
      <c r="G86" s="77"/>
      <c r="H86" s="78"/>
      <c r="I86" s="78"/>
      <c r="J86" s="78"/>
      <c r="K86" s="78"/>
      <c r="L86" s="78"/>
      <c r="M86" s="78"/>
      <c r="N86" s="78"/>
      <c r="O86" s="78"/>
      <c r="P86" s="81"/>
      <c r="Q86" s="81"/>
      <c r="R86" s="82"/>
      <c r="S86" s="83"/>
      <c r="T86" s="81"/>
      <c r="U86" s="81"/>
      <c r="V86" s="81"/>
      <c r="W86" s="81"/>
      <c r="X86" s="81"/>
      <c r="Y86" s="81"/>
      <c r="Z86" s="81"/>
      <c r="AA86" s="81"/>
      <c r="AB86" s="81"/>
      <c r="AC86" s="81"/>
      <c r="AD86" s="84"/>
      <c r="AE86" s="115"/>
      <c r="AF86" s="80"/>
      <c r="AG86" s="78"/>
      <c r="AH86" s="78"/>
      <c r="AI86" s="78"/>
      <c r="AJ86" s="78"/>
      <c r="AK86" s="78"/>
      <c r="AL86" s="78"/>
      <c r="AM86" s="78"/>
      <c r="AN86" s="78"/>
      <c r="AO86" s="52"/>
      <c r="AP86" s="141"/>
      <c r="AQ86" s="57"/>
      <c r="AR86" s="30"/>
    </row>
    <row r="87" spans="1:45" s="23" customFormat="1" ht="16" thickBot="1" x14ac:dyDescent="0.25">
      <c r="A87" s="35"/>
      <c r="C87" s="53"/>
      <c r="D87" s="58"/>
      <c r="E87" s="339"/>
      <c r="F87" s="340"/>
      <c r="G87" s="77"/>
      <c r="H87" s="78"/>
      <c r="I87" s="78"/>
      <c r="J87" s="78"/>
      <c r="K87" s="78"/>
      <c r="L87" s="78"/>
      <c r="M87" s="78"/>
      <c r="N87" s="78"/>
      <c r="O87" s="78"/>
      <c r="P87" s="78"/>
      <c r="Q87" s="78"/>
      <c r="R87" s="79"/>
      <c r="S87" s="80"/>
      <c r="T87" s="78"/>
      <c r="U87" s="78"/>
      <c r="V87" s="78"/>
      <c r="W87" s="78"/>
      <c r="X87" s="78"/>
      <c r="Y87" s="78"/>
      <c r="Z87" s="78"/>
      <c r="AA87" s="78"/>
      <c r="AB87" s="78"/>
      <c r="AC87" s="78"/>
      <c r="AD87" s="79"/>
      <c r="AE87" s="113"/>
      <c r="AF87" s="80"/>
      <c r="AG87" s="78"/>
      <c r="AH87" s="78"/>
      <c r="AI87" s="78"/>
      <c r="AJ87" s="78"/>
      <c r="AK87" s="78"/>
      <c r="AL87" s="78"/>
      <c r="AM87" s="78"/>
      <c r="AN87" s="78"/>
      <c r="AO87" s="52"/>
      <c r="AP87" s="141"/>
      <c r="AQ87" s="57"/>
      <c r="AR87" s="56"/>
    </row>
    <row r="88" spans="1:45" s="23" customFormat="1" ht="16" thickBot="1" x14ac:dyDescent="0.25">
      <c r="A88"/>
      <c r="C88" s="327" t="s">
        <v>38</v>
      </c>
      <c r="D88" s="328"/>
      <c r="E88" s="329"/>
      <c r="F88" s="20"/>
      <c r="G88" s="11">
        <f t="shared" ref="G88:AD88" si="46">SUM(G78:G87)</f>
        <v>1000</v>
      </c>
      <c r="H88" s="9">
        <f t="shared" si="46"/>
        <v>2500</v>
      </c>
      <c r="I88" s="9">
        <f t="shared" si="46"/>
        <v>4000.0000000000005</v>
      </c>
      <c r="J88" s="9">
        <f t="shared" si="46"/>
        <v>3500.0000000000005</v>
      </c>
      <c r="K88" s="9">
        <f t="shared" si="46"/>
        <v>4250</v>
      </c>
      <c r="L88" s="9">
        <f t="shared" si="46"/>
        <v>5250.0000000000009</v>
      </c>
      <c r="M88" s="9">
        <f t="shared" si="46"/>
        <v>5100.0000000000009</v>
      </c>
      <c r="N88" s="9">
        <f t="shared" si="46"/>
        <v>5100.0000000000009</v>
      </c>
      <c r="O88" s="9">
        <f t="shared" si="46"/>
        <v>5100.0000000000009</v>
      </c>
      <c r="P88" s="9">
        <f t="shared" si="46"/>
        <v>3450.0000000000005</v>
      </c>
      <c r="Q88" s="9">
        <f t="shared" si="46"/>
        <v>3450.0000000000005</v>
      </c>
      <c r="R88" s="10">
        <f t="shared" si="46"/>
        <v>5250.0000000000009</v>
      </c>
      <c r="S88" s="11">
        <f t="shared" si="46"/>
        <v>4656.25</v>
      </c>
      <c r="T88" s="9">
        <f t="shared" si="46"/>
        <v>4656.25</v>
      </c>
      <c r="U88" s="9">
        <f t="shared" si="46"/>
        <v>4656.25</v>
      </c>
      <c r="V88" s="9">
        <f t="shared" si="46"/>
        <v>4656.25</v>
      </c>
      <c r="W88" s="9">
        <f t="shared" si="46"/>
        <v>7656.25</v>
      </c>
      <c r="X88" s="9">
        <f t="shared" si="46"/>
        <v>13356.25</v>
      </c>
      <c r="Y88" s="9">
        <f t="shared" si="46"/>
        <v>14856.25</v>
      </c>
      <c r="Z88" s="9">
        <f t="shared" si="46"/>
        <v>14856.25</v>
      </c>
      <c r="AA88" s="9">
        <f t="shared" si="46"/>
        <v>14856.25</v>
      </c>
      <c r="AB88" s="9">
        <f t="shared" si="46"/>
        <v>11856.25</v>
      </c>
      <c r="AC88" s="9">
        <f t="shared" si="46"/>
        <v>8856.25</v>
      </c>
      <c r="AD88" s="10">
        <f t="shared" si="46"/>
        <v>7356.25</v>
      </c>
      <c r="AE88" s="143"/>
      <c r="AF88" s="143">
        <f t="shared" ref="AF88:AN88" si="47">SUM(AF78:AF87)</f>
        <v>7356.25</v>
      </c>
      <c r="AG88" s="138">
        <f t="shared" si="47"/>
        <v>7356.25</v>
      </c>
      <c r="AH88" s="138">
        <f t="shared" si="47"/>
        <v>7356.25</v>
      </c>
      <c r="AI88" s="138">
        <f t="shared" si="47"/>
        <v>7356.25</v>
      </c>
      <c r="AJ88" s="138">
        <f t="shared" si="47"/>
        <v>6156.25</v>
      </c>
      <c r="AK88" s="138">
        <f t="shared" si="47"/>
        <v>7656.25</v>
      </c>
      <c r="AL88" s="138">
        <f t="shared" si="47"/>
        <v>7656.25</v>
      </c>
      <c r="AM88" s="138">
        <f t="shared" si="47"/>
        <v>7656.25</v>
      </c>
      <c r="AN88" s="138">
        <f t="shared" si="47"/>
        <v>79656.250000000015</v>
      </c>
      <c r="AO88" s="14"/>
      <c r="AP88" s="19">
        <f>SUM(G88:AN88)</f>
        <v>298431.25</v>
      </c>
      <c r="AQ88" s="106">
        <f>COUNT(G88:AN88)</f>
        <v>33</v>
      </c>
      <c r="AR88" s="18">
        <f t="shared" ref="AR88" si="48">AP88/AQ88</f>
        <v>9043.371212121212</v>
      </c>
      <c r="AS88" s="49"/>
    </row>
    <row r="89" spans="1:45" customFormat="1" ht="6" customHeight="1" thickBot="1" x14ac:dyDescent="0.25"/>
    <row r="90" spans="1:45" s="23" customFormat="1" x14ac:dyDescent="0.2">
      <c r="A90" s="34"/>
      <c r="C90" s="86" t="s">
        <v>34</v>
      </c>
      <c r="D90" s="87"/>
      <c r="E90" s="96" t="s">
        <v>13</v>
      </c>
      <c r="F90" s="97" t="s">
        <v>35</v>
      </c>
      <c r="G90" s="90"/>
      <c r="H90" s="91"/>
      <c r="I90" s="91"/>
      <c r="J90" s="91"/>
      <c r="K90" s="91"/>
      <c r="L90" s="91"/>
      <c r="M90" s="91"/>
      <c r="N90" s="91"/>
      <c r="O90" s="91"/>
      <c r="P90" s="91"/>
      <c r="Q90" s="91"/>
      <c r="R90" s="92"/>
      <c r="S90" s="90"/>
      <c r="T90" s="91"/>
      <c r="U90" s="91"/>
      <c r="V90" s="91"/>
      <c r="W90" s="91"/>
      <c r="X90" s="91"/>
      <c r="Y90" s="91"/>
      <c r="Z90" s="91"/>
      <c r="AA90" s="91"/>
      <c r="AB90" s="91"/>
      <c r="AC90" s="91"/>
      <c r="AD90" s="93"/>
      <c r="AE90" s="145"/>
      <c r="AF90" s="145"/>
      <c r="AG90" s="91"/>
      <c r="AH90" s="91"/>
      <c r="AI90" s="91"/>
      <c r="AJ90" s="91"/>
      <c r="AK90" s="91"/>
      <c r="AL90" s="91"/>
      <c r="AM90" s="91"/>
      <c r="AN90" s="94"/>
      <c r="AO90" s="94"/>
      <c r="AP90" s="95"/>
      <c r="AQ90" s="95"/>
      <c r="AR90" s="95"/>
    </row>
    <row r="91" spans="1:45" s="23" customFormat="1" x14ac:dyDescent="0.2">
      <c r="A91" s="35">
        <f>E91*F91</f>
        <v>600</v>
      </c>
      <c r="C91" s="39"/>
      <c r="D91" s="58" t="s">
        <v>34</v>
      </c>
      <c r="E91" s="85">
        <v>4</v>
      </c>
      <c r="F91" s="40">
        <f>F46</f>
        <v>150</v>
      </c>
      <c r="G91" s="64"/>
      <c r="H91" s="41"/>
      <c r="I91" s="41"/>
      <c r="J91" s="41"/>
      <c r="K91" s="41"/>
      <c r="L91" s="41"/>
      <c r="M91" s="41"/>
      <c r="N91" s="41"/>
      <c r="O91" s="41"/>
      <c r="P91" s="41"/>
      <c r="Q91" s="41"/>
      <c r="R91" s="41"/>
      <c r="S91" s="67"/>
      <c r="T91" s="65"/>
      <c r="U91" s="65"/>
      <c r="V91" s="65"/>
      <c r="W91" s="65"/>
      <c r="X91" s="65"/>
      <c r="Y91" s="65"/>
      <c r="Z91" s="65"/>
      <c r="AA91" s="65"/>
      <c r="AB91" s="65"/>
      <c r="AC91" s="65"/>
      <c r="AD91" s="66"/>
      <c r="AE91" s="114"/>
      <c r="AF91" s="146"/>
      <c r="AG91" s="78"/>
      <c r="AH91" s="78"/>
      <c r="AI91" s="78"/>
      <c r="AJ91" s="78"/>
      <c r="AK91" s="78"/>
      <c r="AL91" s="78"/>
      <c r="AM91" s="78"/>
      <c r="AN91" s="80"/>
      <c r="AO91" s="52"/>
      <c r="AP91" s="30"/>
      <c r="AQ91" s="57"/>
      <c r="AR91" s="30"/>
    </row>
    <row r="92" spans="1:45" s="23" customFormat="1" ht="16" thickBot="1" x14ac:dyDescent="0.25">
      <c r="A92" s="35"/>
      <c r="C92" s="39"/>
      <c r="D92" s="58"/>
      <c r="E92" s="58"/>
      <c r="F92" s="40"/>
      <c r="G92" s="64"/>
      <c r="H92" s="41"/>
      <c r="I92" s="41"/>
      <c r="J92" s="41"/>
      <c r="K92" s="41"/>
      <c r="L92" s="41"/>
      <c r="M92" s="41"/>
      <c r="N92" s="41"/>
      <c r="O92" s="41"/>
      <c r="P92" s="65"/>
      <c r="Q92" s="65"/>
      <c r="R92" s="66"/>
      <c r="S92" s="67"/>
      <c r="T92" s="65"/>
      <c r="U92" s="65"/>
      <c r="V92" s="65"/>
      <c r="W92" s="65"/>
      <c r="X92" s="65"/>
      <c r="Y92" s="65"/>
      <c r="Z92" s="65"/>
      <c r="AA92" s="55"/>
      <c r="AB92" s="55"/>
      <c r="AC92" s="55"/>
      <c r="AD92" s="51"/>
      <c r="AE92" s="151"/>
      <c r="AF92" s="113"/>
      <c r="AG92" s="78"/>
      <c r="AH92" s="78"/>
      <c r="AI92" s="78"/>
      <c r="AJ92" s="78"/>
      <c r="AK92" s="78"/>
      <c r="AL92" s="78"/>
      <c r="AM92" s="78"/>
      <c r="AN92" s="80"/>
      <c r="AO92" s="52"/>
      <c r="AP92" s="30"/>
      <c r="AQ92" s="31"/>
      <c r="AR92" s="30"/>
    </row>
    <row r="93" spans="1:45" s="23" customFormat="1" ht="16" thickBot="1" x14ac:dyDescent="0.25">
      <c r="A93"/>
      <c r="C93" s="327" t="s">
        <v>39</v>
      </c>
      <c r="D93" s="328"/>
      <c r="E93" s="329"/>
      <c r="F93" s="20"/>
      <c r="G93" s="11">
        <f t="shared" ref="G93:AD93" si="49">SUMPRODUCT(($A$91:$A$92),(G91:G92))</f>
        <v>0</v>
      </c>
      <c r="H93" s="9">
        <f t="shared" si="49"/>
        <v>0</v>
      </c>
      <c r="I93" s="9">
        <f t="shared" si="49"/>
        <v>0</v>
      </c>
      <c r="J93" s="9">
        <f t="shared" si="49"/>
        <v>0</v>
      </c>
      <c r="K93" s="9">
        <f t="shared" si="49"/>
        <v>0</v>
      </c>
      <c r="L93" s="9">
        <f t="shared" si="49"/>
        <v>0</v>
      </c>
      <c r="M93" s="9">
        <f t="shared" si="49"/>
        <v>0</v>
      </c>
      <c r="N93" s="9">
        <f t="shared" si="49"/>
        <v>0</v>
      </c>
      <c r="O93" s="9">
        <f t="shared" si="49"/>
        <v>0</v>
      </c>
      <c r="P93" s="9">
        <f t="shared" si="49"/>
        <v>0</v>
      </c>
      <c r="Q93" s="9">
        <f t="shared" si="49"/>
        <v>0</v>
      </c>
      <c r="R93" s="10">
        <f t="shared" si="49"/>
        <v>0</v>
      </c>
      <c r="S93" s="11">
        <f t="shared" si="49"/>
        <v>0</v>
      </c>
      <c r="T93" s="9">
        <f t="shared" si="49"/>
        <v>0</v>
      </c>
      <c r="U93" s="9">
        <f t="shared" si="49"/>
        <v>0</v>
      </c>
      <c r="V93" s="9">
        <f t="shared" si="49"/>
        <v>0</v>
      </c>
      <c r="W93" s="9">
        <f t="shared" si="49"/>
        <v>0</v>
      </c>
      <c r="X93" s="9">
        <f t="shared" si="49"/>
        <v>0</v>
      </c>
      <c r="Y93" s="9">
        <f t="shared" si="49"/>
        <v>0</v>
      </c>
      <c r="Z93" s="9">
        <f t="shared" si="49"/>
        <v>0</v>
      </c>
      <c r="AA93" s="9">
        <f t="shared" si="49"/>
        <v>0</v>
      </c>
      <c r="AB93" s="9">
        <f t="shared" si="49"/>
        <v>0</v>
      </c>
      <c r="AC93" s="9">
        <f t="shared" si="49"/>
        <v>0</v>
      </c>
      <c r="AD93" s="10">
        <f t="shared" si="49"/>
        <v>0</v>
      </c>
      <c r="AE93" s="143"/>
      <c r="AF93" s="143">
        <f t="shared" ref="AF93:AN93" si="50">SUMPRODUCT(($A$91:$A$92),(AF91:AF92))</f>
        <v>0</v>
      </c>
      <c r="AG93" s="9">
        <f t="shared" si="50"/>
        <v>0</v>
      </c>
      <c r="AH93" s="9">
        <f t="shared" si="50"/>
        <v>0</v>
      </c>
      <c r="AI93" s="9">
        <f t="shared" si="50"/>
        <v>0</v>
      </c>
      <c r="AJ93" s="9">
        <f t="shared" si="50"/>
        <v>0</v>
      </c>
      <c r="AK93" s="9">
        <f t="shared" si="50"/>
        <v>0</v>
      </c>
      <c r="AL93" s="9">
        <f t="shared" si="50"/>
        <v>0</v>
      </c>
      <c r="AM93" s="9">
        <f t="shared" si="50"/>
        <v>0</v>
      </c>
      <c r="AN93" s="14">
        <f t="shared" si="50"/>
        <v>0</v>
      </c>
      <c r="AO93" s="14"/>
      <c r="AP93" s="19">
        <f>SUM(G93:AD93)</f>
        <v>0</v>
      </c>
      <c r="AQ93" s="106">
        <f>COUNT(G93:AN93)</f>
        <v>33</v>
      </c>
      <c r="AR93" s="18">
        <f t="shared" ref="AR93" si="51">AP93/AQ93</f>
        <v>0</v>
      </c>
      <c r="AS93" s="49"/>
    </row>
    <row r="94" spans="1:45" s="23" customFormat="1" ht="6" customHeight="1" thickBot="1" x14ac:dyDescent="0.25">
      <c r="A94" s="43"/>
      <c r="C94" s="44"/>
      <c r="D94" s="44"/>
      <c r="E94" s="44"/>
      <c r="F94" s="45"/>
      <c r="G94" s="46"/>
      <c r="H94"/>
      <c r="I94"/>
      <c r="J94"/>
      <c r="K94"/>
      <c r="L94"/>
      <c r="M94"/>
      <c r="N94"/>
      <c r="O94"/>
      <c r="P94" s="46"/>
      <c r="Q94" s="46"/>
      <c r="R94" s="46"/>
      <c r="S94" s="46"/>
      <c r="T94" s="46"/>
      <c r="U94" s="46"/>
      <c r="V94" s="46"/>
      <c r="W94" s="46"/>
      <c r="X94" s="46"/>
      <c r="Y94" s="46"/>
      <c r="Z94"/>
      <c r="AA94"/>
      <c r="AB94"/>
      <c r="AC94"/>
      <c r="AD94"/>
      <c r="AE94"/>
      <c r="AF94"/>
      <c r="AG94"/>
      <c r="AH94"/>
      <c r="AI94"/>
      <c r="AJ94"/>
      <c r="AK94"/>
      <c r="AL94"/>
      <c r="AM94"/>
      <c r="AN94"/>
      <c r="AO94"/>
      <c r="AP94" s="47"/>
      <c r="AQ94" s="48"/>
      <c r="AR94" s="48"/>
    </row>
    <row r="95" spans="1:45" s="23" customFormat="1" ht="16" thickBot="1" x14ac:dyDescent="0.25">
      <c r="A95"/>
      <c r="C95" s="319"/>
      <c r="D95" s="320"/>
      <c r="E95" s="321"/>
      <c r="F95" s="100"/>
      <c r="G95" s="102">
        <f t="shared" ref="G95:AD95" si="52">SUM(G75+G88+G93)</f>
        <v>75220.811613328944</v>
      </c>
      <c r="H95" s="101">
        <f t="shared" si="52"/>
        <v>69538.152424942265</v>
      </c>
      <c r="I95" s="101">
        <f t="shared" si="52"/>
        <v>49613.262949521617</v>
      </c>
      <c r="J95" s="101">
        <f t="shared" si="52"/>
        <v>33337.360607060378</v>
      </c>
      <c r="K95" s="101">
        <f t="shared" si="52"/>
        <v>24158.566149785551</v>
      </c>
      <c r="L95" s="101">
        <f t="shared" si="52"/>
        <v>20933.695150115476</v>
      </c>
      <c r="M95" s="101">
        <f t="shared" si="52"/>
        <v>29820.58558891455</v>
      </c>
      <c r="N95" s="101">
        <f t="shared" si="52"/>
        <v>29820.58558891455</v>
      </c>
      <c r="O95" s="101">
        <f t="shared" si="52"/>
        <v>33925.836027713623</v>
      </c>
      <c r="P95" s="101">
        <f t="shared" si="52"/>
        <v>24112.044110854509</v>
      </c>
      <c r="Q95" s="101">
        <f t="shared" si="52"/>
        <v>17572.334411085452</v>
      </c>
      <c r="R95" s="103">
        <f t="shared" si="52"/>
        <v>27914.490900692843</v>
      </c>
      <c r="S95" s="102">
        <f t="shared" si="52"/>
        <v>16570.928891454969</v>
      </c>
      <c r="T95" s="101">
        <f t="shared" si="52"/>
        <v>15802.239930715938</v>
      </c>
      <c r="U95" s="101">
        <f t="shared" si="52"/>
        <v>16570.928891454969</v>
      </c>
      <c r="V95" s="101">
        <f t="shared" si="52"/>
        <v>17538.829214780602</v>
      </c>
      <c r="W95" s="101">
        <f t="shared" si="52"/>
        <v>23373.189861431871</v>
      </c>
      <c r="X95" s="101">
        <f t="shared" si="52"/>
        <v>28566.191801385681</v>
      </c>
      <c r="Y95" s="101">
        <f t="shared" si="52"/>
        <v>31359.036854503465</v>
      </c>
      <c r="Z95" s="101">
        <f t="shared" si="52"/>
        <v>27960.816854503464</v>
      </c>
      <c r="AA95" s="101">
        <f t="shared" si="52"/>
        <v>27538.088891454965</v>
      </c>
      <c r="AB95" s="101">
        <f t="shared" si="52"/>
        <v>24960.816854503464</v>
      </c>
      <c r="AC95" s="101">
        <f t="shared" si="52"/>
        <v>21538.088891454965</v>
      </c>
      <c r="AD95" s="103">
        <f t="shared" si="52"/>
        <v>20460.816854503464</v>
      </c>
      <c r="AE95" s="152"/>
      <c r="AF95" s="101">
        <f t="shared" ref="AF95:AN95" si="53">SUM(AF75+AF88+AF93)</f>
        <v>20460.816854503464</v>
      </c>
      <c r="AG95" s="101">
        <f t="shared" si="53"/>
        <v>19192.632965357967</v>
      </c>
      <c r="AH95" s="101">
        <f t="shared" si="53"/>
        <v>20460.816854503464</v>
      </c>
      <c r="AI95" s="101">
        <f t="shared" si="53"/>
        <v>20038.088891454965</v>
      </c>
      <c r="AJ95" s="101">
        <f t="shared" si="53"/>
        <v>19260.816854503464</v>
      </c>
      <c r="AK95" s="101">
        <f t="shared" si="53"/>
        <v>20338.088891454965</v>
      </c>
      <c r="AL95" s="101">
        <f t="shared" si="53"/>
        <v>27534.280914549658</v>
      </c>
      <c r="AM95" s="101">
        <f t="shared" si="53"/>
        <v>29658.418741339498</v>
      </c>
      <c r="AN95" s="101">
        <f t="shared" si="53"/>
        <v>94781.819607390309</v>
      </c>
      <c r="AO95" s="104"/>
      <c r="AP95" s="105">
        <f>SUM(G95:AN95)</f>
        <v>979933.47989013547</v>
      </c>
      <c r="AQ95" s="105">
        <f>COUNT(G95:AO95)</f>
        <v>33</v>
      </c>
      <c r="AR95" s="154">
        <f t="shared" ref="AR95" si="54">AP95/AQ95</f>
        <v>29694.95393606471</v>
      </c>
      <c r="AS95" s="49"/>
    </row>
    <row r="96" spans="1:45" s="23" customFormat="1" x14ac:dyDescent="0.2">
      <c r="A96" s="3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147">
        <f>SUM(AP93+AP88+AP75)</f>
        <v>979933.47989013523</v>
      </c>
      <c r="AQ96" s="22" t="str">
        <f>IF(AP96=AP95,"OK","ERROR")</f>
        <v>OK</v>
      </c>
      <c r="AR96" s="22"/>
    </row>
    <row r="97" spans="1:39" x14ac:dyDescent="0.2">
      <c r="D97" s="170" t="s">
        <v>62</v>
      </c>
      <c r="I97" s="170" t="s">
        <v>102</v>
      </c>
    </row>
    <row r="98" spans="1:39" s="23" customFormat="1" x14ac:dyDescent="0.2">
      <c r="A98" s="32"/>
      <c r="D98" s="175"/>
      <c r="E98" s="172" t="s">
        <v>40</v>
      </c>
      <c r="F98" s="300" t="s">
        <v>63</v>
      </c>
      <c r="G98" s="300"/>
      <c r="H98" s="68"/>
      <c r="I98" s="397"/>
      <c r="J98" s="398"/>
      <c r="K98" s="398"/>
      <c r="L98" s="398"/>
      <c r="M98" s="398"/>
      <c r="N98" s="399"/>
      <c r="O98" s="301" t="s">
        <v>101</v>
      </c>
      <c r="P98" s="302"/>
      <c r="Q98" s="378" t="s">
        <v>61</v>
      </c>
      <c r="R98" s="378"/>
      <c r="S98" s="378"/>
      <c r="T98" s="378"/>
      <c r="U98" s="378"/>
      <c r="V98" s="378"/>
      <c r="W98" s="378"/>
      <c r="X98" s="378"/>
      <c r="Y98" s="378"/>
      <c r="Z98" s="378"/>
      <c r="AA98" s="378"/>
      <c r="AB98" s="378"/>
      <c r="AC98" s="378"/>
      <c r="AD98" s="378"/>
      <c r="AE98" s="378"/>
      <c r="AF98" s="378"/>
      <c r="AG98" s="378"/>
      <c r="AH98" s="378"/>
      <c r="AI98" s="22"/>
      <c r="AJ98" s="22"/>
      <c r="AK98" s="22"/>
      <c r="AL98" s="22"/>
      <c r="AM98" s="22"/>
    </row>
    <row r="99" spans="1:39" s="23" customFormat="1" x14ac:dyDescent="0.2">
      <c r="A99" s="32"/>
      <c r="C99" s="22"/>
      <c r="D99" s="174" t="s">
        <v>65</v>
      </c>
      <c r="E99" s="173">
        <f>AF42-E100</f>
        <v>299059.6062025734</v>
      </c>
      <c r="F99" s="298">
        <f>AP95</f>
        <v>979933.47989013547</v>
      </c>
      <c r="G99" s="298"/>
      <c r="H99" s="32"/>
      <c r="I99" s="391" t="s">
        <v>103</v>
      </c>
      <c r="J99" s="392"/>
      <c r="K99" s="392"/>
      <c r="L99" s="392"/>
      <c r="M99" s="392"/>
      <c r="N99" s="393"/>
      <c r="O99" s="389">
        <f>F47*0.005</f>
        <v>375000</v>
      </c>
      <c r="P99" s="390"/>
      <c r="Q99" s="291" t="s">
        <v>111</v>
      </c>
      <c r="R99" s="291"/>
      <c r="S99" s="291"/>
      <c r="T99" s="291"/>
      <c r="U99" s="291"/>
      <c r="V99" s="291"/>
      <c r="W99" s="291"/>
      <c r="X99" s="291"/>
      <c r="Y99" s="291"/>
      <c r="Z99" s="291"/>
      <c r="AA99" s="291"/>
      <c r="AB99" s="291"/>
      <c r="AC99" s="291"/>
      <c r="AD99" s="291"/>
      <c r="AE99" s="291"/>
      <c r="AF99" s="291"/>
      <c r="AG99" s="291"/>
      <c r="AH99" s="291"/>
      <c r="AI99" s="22"/>
      <c r="AJ99" s="22"/>
      <c r="AK99" s="22"/>
      <c r="AL99" s="22"/>
      <c r="AM99" s="22"/>
    </row>
    <row r="100" spans="1:39" s="23" customFormat="1" x14ac:dyDescent="0.2">
      <c r="A100" s="32"/>
      <c r="C100" s="22"/>
      <c r="D100" s="174" t="s">
        <v>64</v>
      </c>
      <c r="E100" s="173">
        <f>AF40</f>
        <v>14400</v>
      </c>
      <c r="F100" s="298">
        <v>0</v>
      </c>
      <c r="G100" s="298"/>
      <c r="H100" s="32"/>
      <c r="I100" s="391" t="s">
        <v>100</v>
      </c>
      <c r="J100" s="392"/>
      <c r="K100" s="392"/>
      <c r="L100" s="392"/>
      <c r="M100" s="392"/>
      <c r="N100" s="393"/>
      <c r="O100" s="389"/>
      <c r="P100" s="390"/>
      <c r="Q100" s="291"/>
      <c r="R100" s="291"/>
      <c r="S100" s="291"/>
      <c r="T100" s="291"/>
      <c r="U100" s="291"/>
      <c r="V100" s="291"/>
      <c r="W100" s="291"/>
      <c r="X100" s="291"/>
      <c r="Y100" s="291"/>
      <c r="Z100" s="291"/>
      <c r="AA100" s="291"/>
      <c r="AB100" s="291"/>
      <c r="AC100" s="291"/>
      <c r="AD100" s="291"/>
      <c r="AE100" s="291"/>
      <c r="AF100" s="291"/>
      <c r="AG100" s="291"/>
      <c r="AH100" s="291"/>
      <c r="AI100" s="22"/>
      <c r="AJ100" s="22"/>
      <c r="AK100" s="22"/>
      <c r="AL100" s="22"/>
      <c r="AM100" s="22"/>
    </row>
    <row r="101" spans="1:39" s="23" customFormat="1" x14ac:dyDescent="0.2">
      <c r="A101" s="32"/>
      <c r="C101" s="22"/>
      <c r="D101" s="179" t="s">
        <v>71</v>
      </c>
      <c r="E101" s="177">
        <f>SUM(E99:E100)</f>
        <v>313459.6062025734</v>
      </c>
      <c r="F101" s="297">
        <f>SUM(F99:G100)</f>
        <v>979933.47989013547</v>
      </c>
      <c r="G101" s="297"/>
      <c r="H101" s="32"/>
      <c r="I101" s="394" t="s">
        <v>104</v>
      </c>
      <c r="J101" s="395"/>
      <c r="K101" s="395"/>
      <c r="L101" s="395"/>
      <c r="M101" s="395"/>
      <c r="N101" s="396"/>
      <c r="O101" s="389">
        <f>(F47*5)*0.04*0.01</f>
        <v>150000</v>
      </c>
      <c r="P101" s="390"/>
      <c r="Q101" s="291" t="s">
        <v>112</v>
      </c>
      <c r="R101" s="291"/>
      <c r="S101" s="291"/>
      <c r="T101" s="291"/>
      <c r="U101" s="291"/>
      <c r="V101" s="291"/>
      <c r="W101" s="291"/>
      <c r="X101" s="291"/>
      <c r="Y101" s="291"/>
      <c r="Z101" s="291"/>
      <c r="AA101" s="291"/>
      <c r="AB101" s="291"/>
      <c r="AC101" s="291"/>
      <c r="AD101" s="291"/>
      <c r="AE101" s="291"/>
      <c r="AF101" s="291"/>
      <c r="AG101" s="291"/>
      <c r="AH101" s="291"/>
      <c r="AI101" s="22"/>
      <c r="AJ101" s="22"/>
      <c r="AK101" s="22"/>
      <c r="AL101" s="22"/>
      <c r="AM101" s="22"/>
    </row>
    <row r="102" spans="1:39" s="23" customFormat="1" x14ac:dyDescent="0.2">
      <c r="A102" s="32"/>
      <c r="C102" s="22"/>
      <c r="D102" s="174" t="s">
        <v>66</v>
      </c>
      <c r="E102" s="181">
        <f>SUM(E99:E100)/$F$1</f>
        <v>2089.7307080171558</v>
      </c>
      <c r="F102" s="298">
        <f>SUM(F99:G100)/$F$1</f>
        <v>6532.8898659342367</v>
      </c>
      <c r="G102" s="298"/>
      <c r="H102" s="32"/>
      <c r="I102" s="394" t="s">
        <v>105</v>
      </c>
      <c r="J102" s="395"/>
      <c r="K102" s="395"/>
      <c r="L102" s="395"/>
      <c r="M102" s="395"/>
      <c r="N102" s="396"/>
      <c r="O102" s="389">
        <f>((F47*5)*0.04)*0.05</f>
        <v>750000</v>
      </c>
      <c r="P102" s="390"/>
      <c r="Q102" s="291" t="s">
        <v>113</v>
      </c>
      <c r="R102" s="291"/>
      <c r="S102" s="291"/>
      <c r="T102" s="291"/>
      <c r="U102" s="291"/>
      <c r="V102" s="291"/>
      <c r="W102" s="291"/>
      <c r="X102" s="291"/>
      <c r="Y102" s="291"/>
      <c r="Z102" s="291"/>
      <c r="AA102" s="291"/>
      <c r="AB102" s="291"/>
      <c r="AC102" s="291"/>
      <c r="AD102" s="291"/>
      <c r="AE102" s="291"/>
      <c r="AF102" s="291"/>
      <c r="AG102" s="291"/>
      <c r="AH102" s="291"/>
      <c r="AI102" s="22"/>
      <c r="AJ102" s="22"/>
      <c r="AK102" s="22"/>
      <c r="AL102" s="22"/>
      <c r="AM102" s="22"/>
    </row>
    <row r="103" spans="1:39" s="23" customFormat="1" x14ac:dyDescent="0.2">
      <c r="A103" s="32"/>
      <c r="C103" s="22"/>
      <c r="D103" s="174" t="s">
        <v>72</v>
      </c>
      <c r="E103" s="181">
        <f>E101-F101</f>
        <v>-666473.87368756207</v>
      </c>
      <c r="F103" s="298">
        <v>0</v>
      </c>
      <c r="G103" s="298"/>
      <c r="H103" s="32"/>
      <c r="I103" s="391" t="s">
        <v>106</v>
      </c>
      <c r="J103" s="392"/>
      <c r="K103" s="392"/>
      <c r="L103" s="392"/>
      <c r="M103" s="392"/>
      <c r="N103" s="393"/>
      <c r="O103" s="389">
        <f>((F47*5)*0.04)*0.03</f>
        <v>450000</v>
      </c>
      <c r="P103" s="390"/>
      <c r="Q103" s="291" t="s">
        <v>114</v>
      </c>
      <c r="R103" s="291"/>
      <c r="S103" s="291"/>
      <c r="T103" s="291"/>
      <c r="U103" s="291"/>
      <c r="V103" s="291"/>
      <c r="W103" s="291"/>
      <c r="X103" s="291"/>
      <c r="Y103" s="291"/>
      <c r="Z103" s="291"/>
      <c r="AA103" s="291"/>
      <c r="AB103" s="291"/>
      <c r="AC103" s="291"/>
      <c r="AD103" s="291"/>
      <c r="AE103" s="291"/>
      <c r="AF103" s="291"/>
      <c r="AG103" s="291"/>
      <c r="AH103" s="291"/>
      <c r="AI103" s="22"/>
      <c r="AJ103" s="22"/>
      <c r="AK103" s="22"/>
      <c r="AL103" s="22"/>
      <c r="AM103" s="22"/>
    </row>
    <row r="104" spans="1:39" s="23" customFormat="1" x14ac:dyDescent="0.2">
      <c r="A104" s="32"/>
      <c r="C104" s="22"/>
      <c r="D104" s="179" t="s">
        <v>70</v>
      </c>
      <c r="E104" s="180">
        <f>F102-E102</f>
        <v>4443.1591579170808</v>
      </c>
      <c r="F104" s="297">
        <v>0</v>
      </c>
      <c r="G104" s="297"/>
      <c r="H104" s="32"/>
      <c r="I104" s="391" t="s">
        <v>107</v>
      </c>
      <c r="J104" s="392"/>
      <c r="K104" s="392"/>
      <c r="L104" s="392"/>
      <c r="M104" s="392"/>
      <c r="N104" s="393"/>
      <c r="O104" s="389">
        <f>(F47*0.04)/24*12</f>
        <v>1500000</v>
      </c>
      <c r="P104" s="390"/>
      <c r="Q104" s="291" t="s">
        <v>115</v>
      </c>
      <c r="R104" s="291"/>
      <c r="S104" s="291"/>
      <c r="T104" s="291"/>
      <c r="U104" s="291"/>
      <c r="V104" s="291"/>
      <c r="W104" s="291"/>
      <c r="X104" s="291"/>
      <c r="Y104" s="291"/>
      <c r="Z104" s="291"/>
      <c r="AA104" s="291"/>
      <c r="AB104" s="291"/>
      <c r="AC104" s="291"/>
      <c r="AD104" s="291"/>
      <c r="AE104" s="291"/>
      <c r="AF104" s="291"/>
      <c r="AG104" s="291"/>
      <c r="AH104" s="291"/>
      <c r="AI104" s="22"/>
      <c r="AJ104" s="22"/>
      <c r="AK104" s="22"/>
      <c r="AL104" s="22"/>
      <c r="AM104" s="22"/>
    </row>
    <row r="105" spans="1:39" s="23" customFormat="1" x14ac:dyDescent="0.2">
      <c r="A105" s="32"/>
      <c r="C105" s="22"/>
      <c r="D105" s="174" t="s">
        <v>68</v>
      </c>
      <c r="E105" s="176">
        <f>SUM(E99:E100)/(F2*0.04)</f>
        <v>0.1044865354008578</v>
      </c>
      <c r="F105" s="296">
        <f>SUM(F99:G100)/(F2*0.04)</f>
        <v>0.3266444932967118</v>
      </c>
      <c r="G105" s="296"/>
      <c r="H105" s="166"/>
      <c r="I105" s="391" t="s">
        <v>108</v>
      </c>
      <c r="J105" s="392"/>
      <c r="K105" s="392"/>
      <c r="L105" s="392"/>
      <c r="M105" s="392"/>
      <c r="N105" s="393"/>
      <c r="O105" s="389">
        <f>(AVERAGE(E65:E77)*52)</f>
        <v>261959.69412368489</v>
      </c>
      <c r="P105" s="390"/>
      <c r="Q105" s="291" t="s">
        <v>116</v>
      </c>
      <c r="R105" s="291"/>
      <c r="S105" s="291"/>
      <c r="T105" s="291"/>
      <c r="U105" s="291"/>
      <c r="V105" s="291"/>
      <c r="W105" s="291"/>
      <c r="X105" s="291"/>
      <c r="Y105" s="291"/>
      <c r="Z105" s="291"/>
      <c r="AA105" s="291"/>
      <c r="AB105" s="291"/>
      <c r="AC105" s="291"/>
      <c r="AD105" s="291"/>
      <c r="AE105" s="291"/>
      <c r="AF105" s="291"/>
      <c r="AG105" s="291"/>
      <c r="AH105" s="291"/>
      <c r="AI105" s="22"/>
      <c r="AJ105" s="22"/>
      <c r="AK105" s="22"/>
      <c r="AL105" s="22"/>
      <c r="AM105" s="22"/>
    </row>
    <row r="106" spans="1:39" s="23" customFormat="1" x14ac:dyDescent="0.2">
      <c r="A106" s="32"/>
      <c r="C106" s="22"/>
      <c r="D106" s="174" t="s">
        <v>69</v>
      </c>
      <c r="E106" s="178">
        <f>SUM(E99:E100)/$F$2</f>
        <v>4.1794614160343118E-3</v>
      </c>
      <c r="F106" s="290">
        <f>SUM(F99:G100)/$F$2</f>
        <v>1.3065779731868473E-2</v>
      </c>
      <c r="G106" s="290"/>
      <c r="H106" s="32"/>
      <c r="I106" s="391" t="s">
        <v>109</v>
      </c>
      <c r="J106" s="392"/>
      <c r="K106" s="392"/>
      <c r="L106" s="392"/>
      <c r="M106" s="392"/>
      <c r="N106" s="393"/>
      <c r="O106" s="389">
        <f>((F47*5)*0.75)/5*0.02</f>
        <v>1125000</v>
      </c>
      <c r="P106" s="390"/>
      <c r="Q106" s="291" t="s">
        <v>117</v>
      </c>
      <c r="R106" s="291"/>
      <c r="S106" s="291"/>
      <c r="T106" s="291"/>
      <c r="U106" s="291"/>
      <c r="V106" s="291"/>
      <c r="W106" s="291"/>
      <c r="X106" s="291"/>
      <c r="Y106" s="291"/>
      <c r="Z106" s="291"/>
      <c r="AA106" s="291"/>
      <c r="AB106" s="291"/>
      <c r="AC106" s="291"/>
      <c r="AD106" s="291"/>
      <c r="AE106" s="291"/>
      <c r="AF106" s="291"/>
      <c r="AG106" s="291"/>
      <c r="AH106" s="291"/>
      <c r="AI106" s="22"/>
      <c r="AJ106" s="22"/>
      <c r="AK106" s="22"/>
      <c r="AL106" s="22"/>
      <c r="AM106" s="22"/>
    </row>
    <row r="107" spans="1:39" s="23" customFormat="1" x14ac:dyDescent="0.2">
      <c r="A107" s="32"/>
      <c r="C107" s="22"/>
      <c r="D107" s="187"/>
      <c r="E107" s="188"/>
      <c r="F107" s="188"/>
      <c r="G107" s="188"/>
      <c r="H107" s="32"/>
      <c r="I107" s="187"/>
      <c r="J107" s="187"/>
      <c r="K107" s="187"/>
      <c r="L107" s="187"/>
      <c r="M107" s="187"/>
      <c r="N107" s="187"/>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row>
    <row r="108" spans="1:39" x14ac:dyDescent="0.2">
      <c r="D108" s="170" t="s">
        <v>110</v>
      </c>
      <c r="F108" s="288"/>
      <c r="G108" s="288"/>
      <c r="H108" s="288"/>
      <c r="I108" s="289"/>
      <c r="J108" s="289"/>
      <c r="K108" s="32"/>
      <c r="L108" s="289"/>
      <c r="M108" s="289"/>
      <c r="AM108"/>
    </row>
    <row r="109" spans="1:39" x14ac:dyDescent="0.2">
      <c r="D109" s="295"/>
      <c r="E109" s="295"/>
      <c r="F109" s="182">
        <v>44927</v>
      </c>
      <c r="G109" s="182">
        <v>44958</v>
      </c>
      <c r="H109" s="182">
        <v>44986</v>
      </c>
      <c r="I109" s="182">
        <v>45017</v>
      </c>
      <c r="J109" s="182">
        <v>45047</v>
      </c>
      <c r="K109" s="182">
        <v>45078</v>
      </c>
      <c r="L109" s="182">
        <v>45108</v>
      </c>
      <c r="M109" s="182">
        <v>45139</v>
      </c>
      <c r="N109" s="182">
        <v>45170</v>
      </c>
      <c r="O109" s="182">
        <v>45200</v>
      </c>
      <c r="P109" s="182">
        <v>45231</v>
      </c>
      <c r="Q109" s="182">
        <v>45261</v>
      </c>
      <c r="R109" s="182">
        <v>45292</v>
      </c>
      <c r="S109" s="182">
        <v>45323</v>
      </c>
      <c r="T109" s="182">
        <v>45352</v>
      </c>
      <c r="U109" s="182">
        <v>45383</v>
      </c>
      <c r="V109" s="182">
        <v>45413</v>
      </c>
      <c r="W109" s="182">
        <v>45444</v>
      </c>
      <c r="X109" s="182">
        <v>45474</v>
      </c>
      <c r="Y109" s="182">
        <v>45505</v>
      </c>
      <c r="Z109" s="182">
        <v>45536</v>
      </c>
      <c r="AA109" s="182">
        <v>45566</v>
      </c>
      <c r="AB109" s="182">
        <v>45597</v>
      </c>
      <c r="AC109" s="182">
        <v>45627</v>
      </c>
      <c r="AD109" s="182">
        <v>45658</v>
      </c>
      <c r="AF109" s="182">
        <v>45689</v>
      </c>
      <c r="AG109" s="182">
        <v>45717</v>
      </c>
      <c r="AH109" s="182">
        <v>45748</v>
      </c>
      <c r="AI109" s="182">
        <v>45778</v>
      </c>
      <c r="AJ109" s="182">
        <v>45809</v>
      </c>
      <c r="AK109" s="182">
        <v>45839</v>
      </c>
      <c r="AL109" s="182">
        <v>45870</v>
      </c>
      <c r="AM109" s="182">
        <v>45901</v>
      </c>
    </row>
    <row r="110" spans="1:39" x14ac:dyDescent="0.2">
      <c r="D110" s="292" t="s">
        <v>97</v>
      </c>
      <c r="E110" s="292"/>
      <c r="F110" s="183">
        <f t="shared" ref="F110:AC110" si="55">G42</f>
        <v>43070.227647641048</v>
      </c>
      <c r="G110" s="183">
        <f t="shared" si="55"/>
        <v>34149.422632794456</v>
      </c>
      <c r="H110" s="183">
        <f t="shared" si="55"/>
        <v>38451.146486308149</v>
      </c>
      <c r="I110" s="183">
        <f t="shared" si="55"/>
        <v>32685.301880567469</v>
      </c>
      <c r="J110" s="183">
        <f t="shared" si="55"/>
        <v>22741.240514681624</v>
      </c>
      <c r="K110" s="183">
        <f t="shared" si="55"/>
        <v>23449.587594853183</v>
      </c>
      <c r="L110" s="183">
        <f t="shared" si="55"/>
        <v>14492.901270207853</v>
      </c>
      <c r="M110" s="183">
        <f t="shared" si="55"/>
        <v>12992.901270207853</v>
      </c>
      <c r="N110" s="183">
        <f t="shared" si="55"/>
        <v>11756.033487297922</v>
      </c>
      <c r="O110" s="183">
        <f t="shared" si="55"/>
        <v>12692.901270207853</v>
      </c>
      <c r="P110" s="183">
        <f t="shared" si="55"/>
        <v>12056.033487297922</v>
      </c>
      <c r="Q110" s="183">
        <f t="shared" si="55"/>
        <v>20009.877367205543</v>
      </c>
      <c r="R110" s="183">
        <f t="shared" si="55"/>
        <v>3145.1605080831414</v>
      </c>
      <c r="S110" s="183">
        <f t="shared" si="55"/>
        <v>3019.6662817551969</v>
      </c>
      <c r="T110" s="183">
        <f t="shared" si="55"/>
        <v>3145.1605080831414</v>
      </c>
      <c r="U110" s="183">
        <f t="shared" si="55"/>
        <v>3082.4133949191687</v>
      </c>
      <c r="V110" s="183">
        <f t="shared" si="55"/>
        <v>3145.1605080831414</v>
      </c>
      <c r="W110" s="183">
        <f t="shared" si="55"/>
        <v>3082.4133949191687</v>
      </c>
      <c r="X110" s="183">
        <f t="shared" si="55"/>
        <v>3242.4185334872982</v>
      </c>
      <c r="Y110" s="183">
        <f t="shared" si="55"/>
        <v>3242.4185334872982</v>
      </c>
      <c r="Z110" s="183">
        <f t="shared" si="55"/>
        <v>3176.5340646651275</v>
      </c>
      <c r="AA110" s="183">
        <f t="shared" si="55"/>
        <v>2221.2092667436491</v>
      </c>
      <c r="AB110" s="183">
        <f t="shared" si="55"/>
        <v>2188.2670323325638</v>
      </c>
      <c r="AC110" s="183">
        <f t="shared" si="55"/>
        <v>2221.2092667436491</v>
      </c>
      <c r="AD110" s="184"/>
      <c r="AF110" s="184"/>
      <c r="AG110" s="184"/>
      <c r="AH110" s="184"/>
      <c r="AI110" s="184"/>
      <c r="AJ110" s="184"/>
      <c r="AK110" s="184"/>
      <c r="AL110" s="184"/>
      <c r="AM110" s="184"/>
    </row>
    <row r="111" spans="1:39" ht="15" customHeight="1" x14ac:dyDescent="0.2">
      <c r="D111" s="293" t="s">
        <v>98</v>
      </c>
      <c r="E111" s="293"/>
      <c r="F111" s="186">
        <f>F110</f>
        <v>43070.227647641048</v>
      </c>
      <c r="G111" s="186">
        <f>F111+G110</f>
        <v>77219.650280435511</v>
      </c>
      <c r="H111" s="186">
        <f t="shared" ref="H111:AC111" si="56">G111+H110</f>
        <v>115670.79676674366</v>
      </c>
      <c r="I111" s="186">
        <f t="shared" si="56"/>
        <v>148356.09864731113</v>
      </c>
      <c r="J111" s="186">
        <f t="shared" si="56"/>
        <v>171097.33916199274</v>
      </c>
      <c r="K111" s="186">
        <f t="shared" si="56"/>
        <v>194546.92675684593</v>
      </c>
      <c r="L111" s="186">
        <f t="shared" si="56"/>
        <v>209039.82802705379</v>
      </c>
      <c r="M111" s="186">
        <f t="shared" si="56"/>
        <v>222032.72929726166</v>
      </c>
      <c r="N111" s="186">
        <f t="shared" si="56"/>
        <v>233788.76278455957</v>
      </c>
      <c r="O111" s="186">
        <f t="shared" si="56"/>
        <v>246481.66405476743</v>
      </c>
      <c r="P111" s="186">
        <f t="shared" si="56"/>
        <v>258537.69754206535</v>
      </c>
      <c r="Q111" s="186">
        <f t="shared" si="56"/>
        <v>278547.57490927092</v>
      </c>
      <c r="R111" s="186">
        <f t="shared" si="56"/>
        <v>281692.73541735404</v>
      </c>
      <c r="S111" s="186">
        <f t="shared" si="56"/>
        <v>284712.40169910924</v>
      </c>
      <c r="T111" s="186">
        <f t="shared" si="56"/>
        <v>287857.56220719236</v>
      </c>
      <c r="U111" s="186">
        <f t="shared" si="56"/>
        <v>290939.97560211155</v>
      </c>
      <c r="V111" s="186">
        <f t="shared" si="56"/>
        <v>294085.13611019467</v>
      </c>
      <c r="W111" s="186">
        <f t="shared" si="56"/>
        <v>297167.54950511386</v>
      </c>
      <c r="X111" s="186">
        <f t="shared" si="56"/>
        <v>300409.96803860116</v>
      </c>
      <c r="Y111" s="186">
        <f t="shared" si="56"/>
        <v>303652.38657208846</v>
      </c>
      <c r="Z111" s="186">
        <f t="shared" si="56"/>
        <v>306828.92063675361</v>
      </c>
      <c r="AA111" s="186">
        <f t="shared" si="56"/>
        <v>309050.12990349723</v>
      </c>
      <c r="AB111" s="186">
        <f t="shared" si="56"/>
        <v>311238.39693582978</v>
      </c>
      <c r="AC111" s="186">
        <f t="shared" si="56"/>
        <v>313459.6062025734</v>
      </c>
      <c r="AD111" s="186">
        <f t="shared" ref="AD111" si="57">AC111+AD110</f>
        <v>313459.6062025734</v>
      </c>
      <c r="AF111" s="186"/>
      <c r="AG111" s="186">
        <f t="shared" ref="AG111" si="58">AF111+AG110</f>
        <v>0</v>
      </c>
      <c r="AH111" s="186">
        <f t="shared" ref="AH111" si="59">AG111+AH110</f>
        <v>0</v>
      </c>
      <c r="AI111" s="186">
        <f t="shared" ref="AI111" si="60">AH111+AI110</f>
        <v>0</v>
      </c>
      <c r="AJ111" s="186">
        <f t="shared" ref="AJ111" si="61">AI111+AJ110</f>
        <v>0</v>
      </c>
      <c r="AK111" s="186">
        <f t="shared" ref="AK111" si="62">AJ111+AK110</f>
        <v>0</v>
      </c>
      <c r="AL111" s="186">
        <f t="shared" ref="AL111" si="63">AK111+AL110</f>
        <v>0</v>
      </c>
      <c r="AM111" s="186">
        <f t="shared" ref="AM111" si="64">AL111+AM110</f>
        <v>0</v>
      </c>
    </row>
    <row r="112" spans="1:39" x14ac:dyDescent="0.2">
      <c r="D112" s="292" t="s">
        <v>96</v>
      </c>
      <c r="E112" s="292"/>
      <c r="F112" s="183">
        <f t="shared" ref="F112:AC112" si="65">G95</f>
        <v>75220.811613328944</v>
      </c>
      <c r="G112" s="183">
        <f t="shared" si="65"/>
        <v>69538.152424942265</v>
      </c>
      <c r="H112" s="183">
        <f t="shared" si="65"/>
        <v>49613.262949521617</v>
      </c>
      <c r="I112" s="183">
        <f t="shared" si="65"/>
        <v>33337.360607060378</v>
      </c>
      <c r="J112" s="183">
        <f t="shared" si="65"/>
        <v>24158.566149785551</v>
      </c>
      <c r="K112" s="183">
        <f t="shared" si="65"/>
        <v>20933.695150115476</v>
      </c>
      <c r="L112" s="183">
        <f t="shared" si="65"/>
        <v>29820.58558891455</v>
      </c>
      <c r="M112" s="183">
        <f t="shared" si="65"/>
        <v>29820.58558891455</v>
      </c>
      <c r="N112" s="183">
        <f t="shared" si="65"/>
        <v>33925.836027713623</v>
      </c>
      <c r="O112" s="183">
        <f t="shared" si="65"/>
        <v>24112.044110854509</v>
      </c>
      <c r="P112" s="183">
        <f t="shared" si="65"/>
        <v>17572.334411085452</v>
      </c>
      <c r="Q112" s="183">
        <f t="shared" si="65"/>
        <v>27914.490900692843</v>
      </c>
      <c r="R112" s="183">
        <f t="shared" si="65"/>
        <v>16570.928891454969</v>
      </c>
      <c r="S112" s="183">
        <f t="shared" si="65"/>
        <v>15802.239930715938</v>
      </c>
      <c r="T112" s="183">
        <f t="shared" si="65"/>
        <v>16570.928891454969</v>
      </c>
      <c r="U112" s="183">
        <f t="shared" si="65"/>
        <v>17538.829214780602</v>
      </c>
      <c r="V112" s="183">
        <f t="shared" si="65"/>
        <v>23373.189861431871</v>
      </c>
      <c r="W112" s="183">
        <f t="shared" si="65"/>
        <v>28566.191801385681</v>
      </c>
      <c r="X112" s="183">
        <f t="shared" si="65"/>
        <v>31359.036854503465</v>
      </c>
      <c r="Y112" s="183">
        <f t="shared" si="65"/>
        <v>27960.816854503464</v>
      </c>
      <c r="Z112" s="183">
        <f t="shared" si="65"/>
        <v>27538.088891454965</v>
      </c>
      <c r="AA112" s="183">
        <f t="shared" si="65"/>
        <v>24960.816854503464</v>
      </c>
      <c r="AB112" s="183">
        <f t="shared" si="65"/>
        <v>21538.088891454965</v>
      </c>
      <c r="AC112" s="183">
        <f t="shared" si="65"/>
        <v>20460.816854503464</v>
      </c>
      <c r="AD112" s="183">
        <f>AF95</f>
        <v>20460.816854503464</v>
      </c>
      <c r="AF112" s="183">
        <f t="shared" ref="AF112:AM112" si="66">AG95</f>
        <v>19192.632965357967</v>
      </c>
      <c r="AG112" s="183">
        <f t="shared" si="66"/>
        <v>20460.816854503464</v>
      </c>
      <c r="AH112" s="183">
        <f t="shared" si="66"/>
        <v>20038.088891454965</v>
      </c>
      <c r="AI112" s="183">
        <f t="shared" si="66"/>
        <v>19260.816854503464</v>
      </c>
      <c r="AJ112" s="183">
        <f t="shared" si="66"/>
        <v>20338.088891454965</v>
      </c>
      <c r="AK112" s="183">
        <f t="shared" si="66"/>
        <v>27534.280914549658</v>
      </c>
      <c r="AL112" s="183">
        <f t="shared" si="66"/>
        <v>29658.418741339498</v>
      </c>
      <c r="AM112" s="183">
        <f t="shared" si="66"/>
        <v>94781.819607390309</v>
      </c>
    </row>
    <row r="113" spans="4:39" ht="15" customHeight="1" x14ac:dyDescent="0.2">
      <c r="D113" s="294" t="s">
        <v>99</v>
      </c>
      <c r="E113" s="294"/>
      <c r="F113" s="185">
        <f>F112</f>
        <v>75220.811613328944</v>
      </c>
      <c r="G113" s="185">
        <f>F113+G112</f>
        <v>144758.96403827122</v>
      </c>
      <c r="H113" s="185">
        <f t="shared" ref="H113:AC113" si="67">G113+H112</f>
        <v>194372.22698779285</v>
      </c>
      <c r="I113" s="185">
        <f t="shared" si="67"/>
        <v>227709.58759485322</v>
      </c>
      <c r="J113" s="185">
        <f t="shared" si="67"/>
        <v>251868.15374463878</v>
      </c>
      <c r="K113" s="185">
        <f t="shared" si="67"/>
        <v>272801.84889475425</v>
      </c>
      <c r="L113" s="185">
        <f t="shared" si="67"/>
        <v>302622.43448366883</v>
      </c>
      <c r="M113" s="185">
        <f t="shared" si="67"/>
        <v>332443.0200725834</v>
      </c>
      <c r="N113" s="185">
        <f t="shared" si="67"/>
        <v>366368.85610029701</v>
      </c>
      <c r="O113" s="185">
        <f t="shared" si="67"/>
        <v>390480.90021115151</v>
      </c>
      <c r="P113" s="185">
        <f t="shared" si="67"/>
        <v>408053.23462223698</v>
      </c>
      <c r="Q113" s="185">
        <f t="shared" si="67"/>
        <v>435967.7255229298</v>
      </c>
      <c r="R113" s="185">
        <f t="shared" si="67"/>
        <v>452538.65441438474</v>
      </c>
      <c r="S113" s="185">
        <f t="shared" si="67"/>
        <v>468340.89434510068</v>
      </c>
      <c r="T113" s="185">
        <f t="shared" si="67"/>
        <v>484911.82323655568</v>
      </c>
      <c r="U113" s="185">
        <f t="shared" si="67"/>
        <v>502450.65245133627</v>
      </c>
      <c r="V113" s="185">
        <f t="shared" si="67"/>
        <v>525823.8423127681</v>
      </c>
      <c r="W113" s="185">
        <f t="shared" si="67"/>
        <v>554390.03411415382</v>
      </c>
      <c r="X113" s="185">
        <f t="shared" si="67"/>
        <v>585749.07096865727</v>
      </c>
      <c r="Y113" s="185">
        <f t="shared" si="67"/>
        <v>613709.88782316074</v>
      </c>
      <c r="Z113" s="185">
        <f t="shared" si="67"/>
        <v>641247.97671461571</v>
      </c>
      <c r="AA113" s="185">
        <f t="shared" si="67"/>
        <v>666208.79356911918</v>
      </c>
      <c r="AB113" s="185">
        <f t="shared" si="67"/>
        <v>687746.88246057415</v>
      </c>
      <c r="AC113" s="185">
        <f t="shared" si="67"/>
        <v>708207.69931507763</v>
      </c>
      <c r="AD113" s="185">
        <f t="shared" ref="AD113" si="68">AC113+AD112</f>
        <v>728668.5161695811</v>
      </c>
      <c r="AF113" s="185">
        <f>AD113+AF112</f>
        <v>747861.14913493907</v>
      </c>
      <c r="AG113" s="185">
        <f t="shared" ref="AG113" si="69">AF113+AG112</f>
        <v>768321.96598944254</v>
      </c>
      <c r="AH113" s="185">
        <f t="shared" ref="AH113" si="70">AG113+AH112</f>
        <v>788360.05488089751</v>
      </c>
      <c r="AI113" s="185">
        <f t="shared" ref="AI113" si="71">AH113+AI112</f>
        <v>807620.87173540099</v>
      </c>
      <c r="AJ113" s="185">
        <f t="shared" ref="AJ113" si="72">AI113+AJ112</f>
        <v>827958.96062685596</v>
      </c>
      <c r="AK113" s="185">
        <f t="shared" ref="AK113" si="73">AJ113+AK112</f>
        <v>855493.24154140567</v>
      </c>
      <c r="AL113" s="185">
        <f t="shared" ref="AL113" si="74">AK113+AL112</f>
        <v>885151.66028274514</v>
      </c>
      <c r="AM113" s="185">
        <f>AL113+AM112</f>
        <v>979933.47989013547</v>
      </c>
    </row>
  </sheetData>
  <mergeCells count="99">
    <mergeCell ref="Q103:AH103"/>
    <mergeCell ref="Q104:AH104"/>
    <mergeCell ref="Q105:AH105"/>
    <mergeCell ref="Q106:AH106"/>
    <mergeCell ref="Q98:AH98"/>
    <mergeCell ref="Q99:AH99"/>
    <mergeCell ref="Q100:AH100"/>
    <mergeCell ref="Q101:AH101"/>
    <mergeCell ref="Q102:AH102"/>
    <mergeCell ref="C4:F4"/>
    <mergeCell ref="G4:R4"/>
    <mergeCell ref="C5:F5"/>
    <mergeCell ref="G5:AD5"/>
    <mergeCell ref="C6:F11"/>
    <mergeCell ref="G6:K6"/>
    <mergeCell ref="G7:AD7"/>
    <mergeCell ref="K8:AD8"/>
    <mergeCell ref="S11:AD11"/>
    <mergeCell ref="C50:F50"/>
    <mergeCell ref="G50:AD50"/>
    <mergeCell ref="C13:F13"/>
    <mergeCell ref="G13:R13"/>
    <mergeCell ref="S13:AD13"/>
    <mergeCell ref="C14:F14"/>
    <mergeCell ref="C15:F15"/>
    <mergeCell ref="C27:E27"/>
    <mergeCell ref="C35:E35"/>
    <mergeCell ref="C40:E40"/>
    <mergeCell ref="C42:E42"/>
    <mergeCell ref="C49:F49"/>
    <mergeCell ref="G49:R49"/>
    <mergeCell ref="C51:F59"/>
    <mergeCell ref="G51:K51"/>
    <mergeCell ref="K52:O52"/>
    <mergeCell ref="M53:AN53"/>
    <mergeCell ref="Q54:U54"/>
    <mergeCell ref="U55:AN55"/>
    <mergeCell ref="V56:AC56"/>
    <mergeCell ref="Y57:AM57"/>
    <mergeCell ref="AM58:AN58"/>
    <mergeCell ref="AL59:AN59"/>
    <mergeCell ref="E81:F81"/>
    <mergeCell ref="C61:F61"/>
    <mergeCell ref="G61:R61"/>
    <mergeCell ref="S61:AD61"/>
    <mergeCell ref="AF61:AO61"/>
    <mergeCell ref="C62:F62"/>
    <mergeCell ref="C63:F63"/>
    <mergeCell ref="C75:E75"/>
    <mergeCell ref="E77:F77"/>
    <mergeCell ref="E78:F78"/>
    <mergeCell ref="E79:F79"/>
    <mergeCell ref="E80:F80"/>
    <mergeCell ref="F98:G98"/>
    <mergeCell ref="E82:F82"/>
    <mergeCell ref="E83:F83"/>
    <mergeCell ref="E84:F84"/>
    <mergeCell ref="E85:F85"/>
    <mergeCell ref="E86:F86"/>
    <mergeCell ref="E87:F87"/>
    <mergeCell ref="C88:E88"/>
    <mergeCell ref="C93:E93"/>
    <mergeCell ref="C95:E95"/>
    <mergeCell ref="D111:E111"/>
    <mergeCell ref="D112:E112"/>
    <mergeCell ref="D113:E113"/>
    <mergeCell ref="F108:H108"/>
    <mergeCell ref="I108:J108"/>
    <mergeCell ref="O99:P99"/>
    <mergeCell ref="I100:N100"/>
    <mergeCell ref="O100:P100"/>
    <mergeCell ref="D109:E109"/>
    <mergeCell ref="D110:E110"/>
    <mergeCell ref="L108:M108"/>
    <mergeCell ref="F105:G105"/>
    <mergeCell ref="F106:G106"/>
    <mergeCell ref="I105:N105"/>
    <mergeCell ref="I106:N106"/>
    <mergeCell ref="O105:P105"/>
    <mergeCell ref="O106:P106"/>
    <mergeCell ref="O101:P101"/>
    <mergeCell ref="O102:P102"/>
    <mergeCell ref="O103:P103"/>
    <mergeCell ref="C3:AC3"/>
    <mergeCell ref="C48:AC48"/>
    <mergeCell ref="I104:N104"/>
    <mergeCell ref="O104:P104"/>
    <mergeCell ref="I101:N101"/>
    <mergeCell ref="I102:N102"/>
    <mergeCell ref="I103:N103"/>
    <mergeCell ref="F103:G103"/>
    <mergeCell ref="F104:G104"/>
    <mergeCell ref="F101:G101"/>
    <mergeCell ref="F102:G102"/>
    <mergeCell ref="F99:G99"/>
    <mergeCell ref="F100:G100"/>
    <mergeCell ref="I98:N98"/>
    <mergeCell ref="O98:P98"/>
    <mergeCell ref="I99:N99"/>
  </mergeCells>
  <conditionalFormatting sqref="G37:AH37 G39:AH39 G38:AG38 AO84:AO86 AO78:AP83 AP84:AQ87 AQ81:AR83 AR84:AR86 G29:AH34 AF77:AN77 G79:AE86 G16:AH26 AP65:AP74 G68:AO73 AQ68:AR73 G78:H78 AF79:AN87">
    <cfRule type="cellIs" dxfId="18" priority="12" operator="greaterThan">
      <formula>0</formula>
    </cfRule>
  </conditionalFormatting>
  <conditionalFormatting sqref="AG30:AH33">
    <cfRule type="cellIs" dxfId="17" priority="11" operator="greaterThan">
      <formula>0</formula>
    </cfRule>
  </conditionalFormatting>
  <conditionalFormatting sqref="AH38">
    <cfRule type="cellIs" dxfId="16" priority="10" operator="greaterThan">
      <formula>0</formula>
    </cfRule>
  </conditionalFormatting>
  <conditionalFormatting sqref="G77:AR77 G64:AR64 G65:AO67 AO91:AQ91 AO92:AR92 G91:AN92 G90:AR90">
    <cfRule type="cellIs" dxfId="15" priority="9" operator="greaterThan">
      <formula>0</formula>
    </cfRule>
  </conditionalFormatting>
  <conditionalFormatting sqref="G74:AO74">
    <cfRule type="cellIs" dxfId="14" priority="8" operator="greaterThan">
      <formula>0</formula>
    </cfRule>
  </conditionalFormatting>
  <conditionalFormatting sqref="G87:AE87 AO87">
    <cfRule type="cellIs" dxfId="13" priority="7" operator="greaterThan">
      <formula>0</formula>
    </cfRule>
  </conditionalFormatting>
  <conditionalFormatting sqref="AQ78:AR80">
    <cfRule type="cellIs" dxfId="12" priority="6" operator="greaterThan">
      <formula>0</formula>
    </cfRule>
  </conditionalFormatting>
  <conditionalFormatting sqref="AR91">
    <cfRule type="cellIs" dxfId="11" priority="5" operator="greaterThan">
      <formula>0</formula>
    </cfRule>
  </conditionalFormatting>
  <conditionalFormatting sqref="AQ65:AR67">
    <cfRule type="cellIs" dxfId="10" priority="3" operator="greaterThan">
      <formula>0</formula>
    </cfRule>
  </conditionalFormatting>
  <conditionalFormatting sqref="I78:AN78">
    <cfRule type="cellIs" dxfId="9" priority="1" operator="greaterThan">
      <formula>0</formula>
    </cfRule>
  </conditionalFormatting>
  <pageMargins left="0.70866141732283472" right="0.70866141732283472" top="0.74803149606299213" bottom="0.74803149606299213" header="0.31496062992125984" footer="0.31496062992125984"/>
  <pageSetup paperSize="8" scale="37" fitToHeight="2" orientation="landscape" r:id="rId1"/>
  <headerFooter>
    <oddHeader>&amp;R&amp;G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769B3-793A-413D-BD42-6269764EE42D}">
  <sheetPr>
    <pageSetUpPr fitToPage="1"/>
  </sheetPr>
  <dimension ref="A1:AX108"/>
  <sheetViews>
    <sheetView tabSelected="1" view="pageBreakPreview" topLeftCell="A2" zoomScale="85" zoomScaleNormal="25" zoomScaleSheetLayoutView="85" workbookViewId="0">
      <selection activeCell="J20" sqref="J20"/>
    </sheetView>
  </sheetViews>
  <sheetFormatPr baseColWidth="10" defaultColWidth="9.1640625" defaultRowHeight="15" x14ac:dyDescent="0.2"/>
  <cols>
    <col min="1" max="1" width="14.33203125" style="32" bestFit="1" customWidth="1"/>
    <col min="2" max="2" width="7.83203125" style="23" customWidth="1"/>
    <col min="3" max="3" width="9.1640625" style="22" customWidth="1"/>
    <col min="4" max="4" width="45" style="22" customWidth="1"/>
    <col min="5" max="5" width="25.33203125" style="22" customWidth="1"/>
    <col min="6" max="6" width="13.33203125" style="22" customWidth="1"/>
    <col min="7" max="30" width="9.33203125" style="22" customWidth="1"/>
    <col min="31" max="31" width="9.33203125" style="22" hidden="1" customWidth="1"/>
    <col min="32" max="32" width="10.5" style="22" bestFit="1" customWidth="1"/>
    <col min="33" max="40" width="9.33203125" style="22" customWidth="1"/>
    <col min="41" max="41" width="9.33203125" style="22" hidden="1" customWidth="1"/>
    <col min="42" max="42" width="10.5" style="22" bestFit="1" customWidth="1"/>
    <col min="43" max="43" width="7.1640625" style="22" bestFit="1" customWidth="1"/>
    <col min="44" max="44" width="11.6640625" style="22" bestFit="1" customWidth="1"/>
    <col min="45" max="45" width="12.6640625" style="23" customWidth="1"/>
    <col min="46" max="50" width="9.33203125" style="23" customWidth="1"/>
    <col min="51" max="16384" width="9.1640625" style="22"/>
  </cols>
  <sheetData>
    <row r="1" spans="1:50" ht="16" x14ac:dyDescent="0.2">
      <c r="C1" s="215" t="s">
        <v>26</v>
      </c>
      <c r="D1" s="38"/>
      <c r="E1" s="68" t="s">
        <v>67</v>
      </c>
      <c r="F1" s="164">
        <v>75</v>
      </c>
      <c r="G1" s="24"/>
      <c r="H1" s="24"/>
      <c r="I1" s="24"/>
      <c r="J1" s="24"/>
      <c r="K1" s="24"/>
      <c r="O1" s="24"/>
      <c r="AR1" s="23"/>
      <c r="AX1" s="22"/>
    </row>
    <row r="2" spans="1:50" ht="16" x14ac:dyDescent="0.2">
      <c r="C2" s="216" t="s">
        <v>27</v>
      </c>
      <c r="D2" s="25"/>
      <c r="E2" s="68" t="s">
        <v>59</v>
      </c>
      <c r="F2" s="165">
        <f>F1*500000</f>
        <v>37500000</v>
      </c>
      <c r="G2" s="24"/>
      <c r="H2" s="24"/>
      <c r="I2" s="24"/>
      <c r="J2" s="24"/>
      <c r="K2" s="50"/>
      <c r="O2" s="26"/>
      <c r="P2" s="23"/>
      <c r="Q2" s="23"/>
      <c r="R2" s="23"/>
      <c r="S2" s="23"/>
      <c r="T2" s="23"/>
      <c r="U2" s="23"/>
      <c r="V2" s="23"/>
      <c r="W2" s="23"/>
      <c r="X2" s="23"/>
      <c r="Y2" s="23"/>
      <c r="Z2" s="23"/>
      <c r="AI2"/>
      <c r="AJ2"/>
      <c r="AK2"/>
      <c r="AL2"/>
      <c r="AM2"/>
      <c r="AR2" s="23"/>
      <c r="AX2" s="22"/>
    </row>
    <row r="3" spans="1:50" ht="26" x14ac:dyDescent="0.2">
      <c r="C3" s="287" t="s">
        <v>40</v>
      </c>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I3"/>
      <c r="AJ3"/>
      <c r="AK3"/>
      <c r="AL3"/>
      <c r="AM3"/>
      <c r="AR3" s="23"/>
      <c r="AX3" s="22"/>
    </row>
    <row r="4" spans="1:50" x14ac:dyDescent="0.2">
      <c r="C4" s="322" t="s">
        <v>15</v>
      </c>
      <c r="D4" s="323"/>
      <c r="E4" s="323"/>
      <c r="F4" s="323"/>
      <c r="G4" s="314" t="s">
        <v>17</v>
      </c>
      <c r="H4" s="315"/>
      <c r="I4" s="315"/>
      <c r="J4" s="315"/>
      <c r="K4" s="315"/>
      <c r="L4" s="315"/>
      <c r="M4" s="315"/>
      <c r="N4" s="315"/>
      <c r="O4" s="315"/>
      <c r="P4" s="315"/>
      <c r="Q4" s="315"/>
      <c r="R4" s="316"/>
      <c r="S4" s="126"/>
      <c r="T4" s="126"/>
      <c r="U4" s="126"/>
      <c r="V4" s="126"/>
      <c r="W4" s="126"/>
      <c r="X4" s="126"/>
      <c r="Y4" s="126"/>
      <c r="Z4" s="126"/>
      <c r="AA4" s="127"/>
      <c r="AB4" s="127"/>
      <c r="AC4" s="127"/>
      <c r="AD4" s="127"/>
      <c r="AE4" s="127"/>
      <c r="AF4" s="127"/>
      <c r="AG4" s="127"/>
      <c r="AH4" s="128"/>
      <c r="AI4"/>
      <c r="AJ4"/>
      <c r="AK4"/>
      <c r="AL4"/>
      <c r="AM4"/>
      <c r="AR4" s="23"/>
      <c r="AX4" s="22"/>
    </row>
    <row r="5" spans="1:50" x14ac:dyDescent="0.2">
      <c r="C5" s="317" t="s">
        <v>16</v>
      </c>
      <c r="D5" s="318"/>
      <c r="E5" s="318"/>
      <c r="F5" s="318"/>
      <c r="G5" s="305" t="s">
        <v>18</v>
      </c>
      <c r="H5" s="306"/>
      <c r="I5" s="306"/>
      <c r="J5" s="306"/>
      <c r="K5" s="306"/>
      <c r="L5" s="306"/>
      <c r="M5" s="306"/>
      <c r="N5" s="306"/>
      <c r="O5" s="306"/>
      <c r="P5" s="306"/>
      <c r="Q5" s="306"/>
      <c r="R5" s="306"/>
      <c r="S5" s="306"/>
      <c r="T5" s="306"/>
      <c r="U5" s="306"/>
      <c r="V5" s="306"/>
      <c r="W5" s="306"/>
      <c r="X5" s="306"/>
      <c r="Y5" s="306"/>
      <c r="Z5" s="306"/>
      <c r="AA5" s="306"/>
      <c r="AB5" s="306"/>
      <c r="AC5" s="306"/>
      <c r="AD5" s="307"/>
      <c r="AE5" s="107"/>
      <c r="AF5" s="116"/>
      <c r="AG5" s="116"/>
      <c r="AH5" s="120"/>
      <c r="AI5"/>
      <c r="AJ5"/>
      <c r="AK5"/>
      <c r="AL5"/>
      <c r="AM5"/>
      <c r="AR5" s="23"/>
      <c r="AX5" s="22"/>
    </row>
    <row r="6" spans="1:50" x14ac:dyDescent="0.2">
      <c r="C6" s="346" t="s">
        <v>45</v>
      </c>
      <c r="D6" s="347"/>
      <c r="E6" s="347"/>
      <c r="F6" s="348"/>
      <c r="G6" s="352" t="s">
        <v>46</v>
      </c>
      <c r="H6" s="353"/>
      <c r="I6" s="353"/>
      <c r="J6" s="353"/>
      <c r="K6" s="326"/>
      <c r="L6" s="116"/>
      <c r="M6" s="116"/>
      <c r="N6" s="116"/>
      <c r="O6" s="116"/>
      <c r="P6" s="116"/>
      <c r="Q6" s="116"/>
      <c r="R6" s="133"/>
      <c r="S6" s="116"/>
      <c r="T6" s="116"/>
      <c r="U6" s="116"/>
      <c r="V6" s="116"/>
      <c r="W6" s="116"/>
      <c r="X6" s="116"/>
      <c r="Y6" s="116"/>
      <c r="Z6" s="116"/>
      <c r="AA6" s="116"/>
      <c r="AB6" s="116"/>
      <c r="AC6" s="116"/>
      <c r="AD6" s="133"/>
      <c r="AE6" s="116"/>
      <c r="AF6" s="116"/>
      <c r="AG6" s="116"/>
      <c r="AH6" s="124"/>
      <c r="AI6"/>
      <c r="AJ6"/>
      <c r="AK6"/>
      <c r="AL6"/>
      <c r="AM6"/>
      <c r="AR6" s="23"/>
      <c r="AX6" s="22"/>
    </row>
    <row r="7" spans="1:50" x14ac:dyDescent="0.2">
      <c r="C7" s="349"/>
      <c r="D7" s="350"/>
      <c r="E7" s="350"/>
      <c r="F7" s="351"/>
      <c r="G7" s="343" t="s">
        <v>55</v>
      </c>
      <c r="H7" s="344"/>
      <c r="I7" s="344"/>
      <c r="J7" s="344"/>
      <c r="K7" s="344"/>
      <c r="L7" s="344"/>
      <c r="M7" s="344"/>
      <c r="N7" s="344"/>
      <c r="O7" s="344"/>
      <c r="P7" s="344"/>
      <c r="Q7" s="344"/>
      <c r="R7" s="344"/>
      <c r="S7" s="344"/>
      <c r="T7" s="344"/>
      <c r="U7" s="344"/>
      <c r="V7" s="344"/>
      <c r="W7" s="344"/>
      <c r="X7" s="344"/>
      <c r="Y7" s="344"/>
      <c r="Z7" s="344"/>
      <c r="AA7" s="344"/>
      <c r="AB7" s="344"/>
      <c r="AC7" s="344"/>
      <c r="AD7" s="345"/>
      <c r="AE7" s="116"/>
      <c r="AF7" s="116"/>
      <c r="AG7" s="116"/>
      <c r="AH7" s="124"/>
      <c r="AI7"/>
      <c r="AJ7"/>
      <c r="AK7"/>
      <c r="AL7"/>
      <c r="AM7"/>
      <c r="AR7" s="23"/>
      <c r="AX7" s="22"/>
    </row>
    <row r="8" spans="1:50" s="110" customFormat="1" x14ac:dyDescent="0.2">
      <c r="A8" s="108"/>
      <c r="B8" s="109"/>
      <c r="C8" s="349"/>
      <c r="D8" s="350"/>
      <c r="E8" s="350"/>
      <c r="F8" s="351"/>
      <c r="G8" s="116"/>
      <c r="H8" s="116"/>
      <c r="I8" s="116"/>
      <c r="J8" s="116"/>
      <c r="K8" s="354" t="s">
        <v>56</v>
      </c>
      <c r="L8" s="355"/>
      <c r="M8" s="355"/>
      <c r="N8" s="355"/>
      <c r="O8" s="355"/>
      <c r="P8" s="355"/>
      <c r="Q8" s="355"/>
      <c r="R8" s="355"/>
      <c r="S8" s="355"/>
      <c r="T8" s="355"/>
      <c r="U8" s="355"/>
      <c r="V8" s="355"/>
      <c r="W8" s="355"/>
      <c r="X8" s="355"/>
      <c r="Y8" s="355"/>
      <c r="Z8" s="355"/>
      <c r="AA8" s="355"/>
      <c r="AB8" s="355"/>
      <c r="AC8" s="355"/>
      <c r="AD8" s="356"/>
      <c r="AE8" s="116"/>
      <c r="AF8" s="116"/>
      <c r="AG8" s="116"/>
      <c r="AH8" s="124"/>
      <c r="AI8"/>
      <c r="AJ8"/>
      <c r="AK8"/>
      <c r="AL8"/>
      <c r="AM8"/>
      <c r="AR8" s="109"/>
      <c r="AS8" s="109"/>
      <c r="AT8" s="109"/>
      <c r="AU8" s="109"/>
      <c r="AV8" s="109"/>
      <c r="AW8" s="109"/>
    </row>
    <row r="9" spans="1:50" s="110" customFormat="1" x14ac:dyDescent="0.2">
      <c r="A9" s="108"/>
      <c r="B9" s="109"/>
      <c r="C9" s="349"/>
      <c r="D9" s="350"/>
      <c r="E9" s="350"/>
      <c r="F9" s="351"/>
      <c r="G9" s="116"/>
      <c r="H9" s="116"/>
      <c r="I9" s="116"/>
      <c r="J9" s="116"/>
      <c r="K9" s="130"/>
      <c r="L9" s="116"/>
      <c r="M9" s="132"/>
      <c r="N9" s="156"/>
      <c r="O9" s="156"/>
      <c r="P9" s="155"/>
      <c r="Q9" s="158" t="s">
        <v>87</v>
      </c>
      <c r="R9" s="157"/>
      <c r="S9" s="116"/>
      <c r="T9" s="116"/>
      <c r="U9" s="116"/>
      <c r="V9" s="116"/>
      <c r="W9" s="116"/>
      <c r="X9" s="116"/>
      <c r="Y9" s="116"/>
      <c r="Z9" s="116"/>
      <c r="AA9" s="116"/>
      <c r="AB9" s="116"/>
      <c r="AC9" s="116"/>
      <c r="AD9" s="134"/>
      <c r="AE9" s="116"/>
      <c r="AF9" s="116"/>
      <c r="AG9" s="116"/>
      <c r="AH9" s="124"/>
      <c r="AI9"/>
      <c r="AJ9"/>
      <c r="AK9"/>
      <c r="AL9"/>
      <c r="AM9"/>
      <c r="AR9" s="109"/>
      <c r="AS9" s="109"/>
      <c r="AT9" s="109"/>
      <c r="AU9" s="109"/>
      <c r="AV9" s="109"/>
      <c r="AW9" s="109"/>
    </row>
    <row r="10" spans="1:50" s="110" customFormat="1" x14ac:dyDescent="0.2">
      <c r="A10" s="108"/>
      <c r="B10" s="109"/>
      <c r="C10" s="349"/>
      <c r="D10" s="350"/>
      <c r="E10" s="350"/>
      <c r="F10" s="351"/>
      <c r="G10" s="116"/>
      <c r="H10" s="116"/>
      <c r="I10" s="116"/>
      <c r="J10" s="116"/>
      <c r="K10" s="130"/>
      <c r="L10" s="116"/>
      <c r="M10" s="116"/>
      <c r="N10" s="116"/>
      <c r="O10" s="116"/>
      <c r="P10" s="123"/>
      <c r="Q10" s="158"/>
      <c r="R10" s="161" t="s">
        <v>49</v>
      </c>
      <c r="S10" s="116"/>
      <c r="T10" s="116"/>
      <c r="U10" s="116"/>
      <c r="V10" s="116"/>
      <c r="W10" s="116"/>
      <c r="X10" s="116"/>
      <c r="Y10" s="116"/>
      <c r="Z10" s="116"/>
      <c r="AA10" s="116"/>
      <c r="AB10" s="116"/>
      <c r="AC10" s="116"/>
      <c r="AD10" s="134"/>
      <c r="AE10" s="116"/>
      <c r="AF10" s="116"/>
      <c r="AG10" s="116"/>
      <c r="AH10" s="124"/>
      <c r="AI10"/>
      <c r="AJ10"/>
      <c r="AK10"/>
      <c r="AL10"/>
      <c r="AM10"/>
      <c r="AR10" s="109"/>
      <c r="AS10" s="109"/>
      <c r="AT10" s="109"/>
      <c r="AU10" s="109"/>
      <c r="AV10" s="109"/>
      <c r="AW10" s="109"/>
    </row>
    <row r="11" spans="1:50" s="110" customFormat="1" ht="16" thickBot="1" x14ac:dyDescent="0.25">
      <c r="A11" s="108"/>
      <c r="B11" s="109"/>
      <c r="C11" s="349"/>
      <c r="D11" s="350"/>
      <c r="E11" s="350"/>
      <c r="F11" s="351"/>
      <c r="G11" s="116"/>
      <c r="H11" s="116"/>
      <c r="I11" s="116"/>
      <c r="J11" s="116"/>
      <c r="K11" s="130"/>
      <c r="L11" s="116"/>
      <c r="M11" s="116"/>
      <c r="N11" s="116"/>
      <c r="O11" s="116"/>
      <c r="P11" s="116"/>
      <c r="Q11" s="116"/>
      <c r="R11" s="116"/>
      <c r="S11" s="357" t="s">
        <v>57</v>
      </c>
      <c r="T11" s="358"/>
      <c r="U11" s="358"/>
      <c r="V11" s="358"/>
      <c r="W11" s="358"/>
      <c r="X11" s="358"/>
      <c r="Y11" s="358"/>
      <c r="Z11" s="358"/>
      <c r="AA11" s="358"/>
      <c r="AB11" s="358"/>
      <c r="AC11" s="358"/>
      <c r="AD11" s="359"/>
      <c r="AE11" s="116"/>
      <c r="AF11" s="116"/>
      <c r="AG11" s="116"/>
      <c r="AH11" s="124"/>
      <c r="AI11"/>
      <c r="AJ11"/>
      <c r="AK11"/>
      <c r="AL11"/>
      <c r="AM11"/>
      <c r="AR11" s="109"/>
      <c r="AS11" s="109"/>
      <c r="AT11" s="109"/>
      <c r="AU11" s="109"/>
      <c r="AV11" s="109"/>
      <c r="AW11" s="109"/>
    </row>
    <row r="12" spans="1:50" ht="46" thickBot="1" x14ac:dyDescent="0.25">
      <c r="A12" s="200" t="s">
        <v>82</v>
      </c>
      <c r="C12" s="72" t="s">
        <v>0</v>
      </c>
      <c r="D12" s="73"/>
      <c r="E12" s="73" t="s">
        <v>1</v>
      </c>
      <c r="F12" s="74"/>
      <c r="G12" s="69">
        <v>44927</v>
      </c>
      <c r="H12" s="69">
        <v>44958</v>
      </c>
      <c r="I12" s="69">
        <v>44986</v>
      </c>
      <c r="J12" s="69">
        <v>45017</v>
      </c>
      <c r="K12" s="69">
        <v>45047</v>
      </c>
      <c r="L12" s="69">
        <v>45078</v>
      </c>
      <c r="M12" s="69">
        <v>45108</v>
      </c>
      <c r="N12" s="69">
        <v>45139</v>
      </c>
      <c r="O12" s="69">
        <v>45170</v>
      </c>
      <c r="P12" s="69">
        <v>45200</v>
      </c>
      <c r="Q12" s="69">
        <v>45231</v>
      </c>
      <c r="R12" s="69">
        <v>45261</v>
      </c>
      <c r="S12" s="70">
        <v>45292</v>
      </c>
      <c r="T12" s="70">
        <v>45323</v>
      </c>
      <c r="U12" s="70">
        <v>45352</v>
      </c>
      <c r="V12" s="70">
        <v>45383</v>
      </c>
      <c r="W12" s="70">
        <v>45413</v>
      </c>
      <c r="X12" s="70">
        <v>45444</v>
      </c>
      <c r="Y12" s="70">
        <v>45474</v>
      </c>
      <c r="Z12" s="70">
        <v>45505</v>
      </c>
      <c r="AA12" s="70">
        <v>45536</v>
      </c>
      <c r="AB12" s="70">
        <v>45566</v>
      </c>
      <c r="AC12" s="70">
        <v>45597</v>
      </c>
      <c r="AD12" s="70">
        <v>45627</v>
      </c>
      <c r="AE12" s="16">
        <v>45658</v>
      </c>
      <c r="AF12" s="159" t="s">
        <v>2</v>
      </c>
      <c r="AG12" s="160" t="s">
        <v>6</v>
      </c>
      <c r="AH12" s="160" t="s">
        <v>7</v>
      </c>
      <c r="AI12"/>
      <c r="AJ12"/>
      <c r="AK12"/>
      <c r="AL12"/>
      <c r="AM12"/>
      <c r="AN12"/>
      <c r="AR12" s="23"/>
      <c r="AW12" s="22"/>
      <c r="AX12" s="22"/>
    </row>
    <row r="13" spans="1:50" s="28" customFormat="1" x14ac:dyDescent="0.2">
      <c r="A13" s="33" t="s">
        <v>32</v>
      </c>
      <c r="B13" s="23"/>
      <c r="C13" s="330" t="s">
        <v>3</v>
      </c>
      <c r="D13" s="331"/>
      <c r="E13" s="331"/>
      <c r="F13" s="331"/>
      <c r="G13" s="334">
        <v>2023</v>
      </c>
      <c r="H13" s="335"/>
      <c r="I13" s="335"/>
      <c r="J13" s="335"/>
      <c r="K13" s="335"/>
      <c r="L13" s="335"/>
      <c r="M13" s="335"/>
      <c r="N13" s="335"/>
      <c r="O13" s="335"/>
      <c r="P13" s="335"/>
      <c r="Q13" s="335"/>
      <c r="R13" s="336"/>
      <c r="S13" s="334">
        <v>2024</v>
      </c>
      <c r="T13" s="335"/>
      <c r="U13" s="335"/>
      <c r="V13" s="335"/>
      <c r="W13" s="335"/>
      <c r="X13" s="335"/>
      <c r="Y13" s="335"/>
      <c r="Z13" s="335"/>
      <c r="AA13" s="335"/>
      <c r="AB13" s="335"/>
      <c r="AC13" s="335"/>
      <c r="AD13" s="336"/>
      <c r="AE13" s="60"/>
      <c r="AF13" s="27"/>
      <c r="AG13" s="27"/>
      <c r="AH13" s="27"/>
      <c r="AI13"/>
      <c r="AJ13"/>
      <c r="AK13"/>
      <c r="AL13"/>
      <c r="AM13"/>
      <c r="AN13"/>
      <c r="AR13" s="23"/>
      <c r="AS13" s="23"/>
      <c r="AT13" s="23"/>
      <c r="AU13" s="23"/>
      <c r="AV13" s="23"/>
    </row>
    <row r="14" spans="1:50" s="28" customFormat="1" x14ac:dyDescent="0.2">
      <c r="A14" s="34"/>
      <c r="B14" s="23"/>
      <c r="C14" s="332" t="s">
        <v>4</v>
      </c>
      <c r="D14" s="333"/>
      <c r="E14" s="333"/>
      <c r="F14" s="333"/>
      <c r="G14" s="1">
        <f>(H12-G12)/7</f>
        <v>4.4285714285714288</v>
      </c>
      <c r="H14" s="2">
        <f t="shared" ref="H14:AC14" si="0">(I12-H12)/7</f>
        <v>4</v>
      </c>
      <c r="I14" s="2">
        <f t="shared" si="0"/>
        <v>4.4285714285714288</v>
      </c>
      <c r="J14" s="2">
        <f t="shared" si="0"/>
        <v>4.2857142857142856</v>
      </c>
      <c r="K14" s="2">
        <f t="shared" si="0"/>
        <v>4.4285714285714288</v>
      </c>
      <c r="L14" s="2">
        <f t="shared" si="0"/>
        <v>4.2857142857142856</v>
      </c>
      <c r="M14" s="2">
        <f t="shared" si="0"/>
        <v>4.4285714285714288</v>
      </c>
      <c r="N14" s="2">
        <f t="shared" si="0"/>
        <v>4.4285714285714288</v>
      </c>
      <c r="O14" s="2">
        <f t="shared" si="0"/>
        <v>4.2857142857142856</v>
      </c>
      <c r="P14" s="2">
        <f t="shared" si="0"/>
        <v>4.4285714285714288</v>
      </c>
      <c r="Q14" s="2">
        <f t="shared" si="0"/>
        <v>4.2857142857142856</v>
      </c>
      <c r="R14" s="3">
        <f t="shared" si="0"/>
        <v>4.4285714285714288</v>
      </c>
      <c r="S14" s="1">
        <f t="shared" si="0"/>
        <v>4.4285714285714288</v>
      </c>
      <c r="T14" s="2">
        <f t="shared" si="0"/>
        <v>4.1428571428571432</v>
      </c>
      <c r="U14" s="2">
        <f t="shared" si="0"/>
        <v>4.4285714285714288</v>
      </c>
      <c r="V14" s="2">
        <f t="shared" si="0"/>
        <v>4.2857142857142856</v>
      </c>
      <c r="W14" s="2">
        <f t="shared" si="0"/>
        <v>4.4285714285714288</v>
      </c>
      <c r="X14" s="2">
        <f t="shared" si="0"/>
        <v>4.2857142857142856</v>
      </c>
      <c r="Y14" s="2">
        <f t="shared" si="0"/>
        <v>4.4285714285714288</v>
      </c>
      <c r="Z14" s="2">
        <f t="shared" si="0"/>
        <v>4.4285714285714288</v>
      </c>
      <c r="AA14" s="2">
        <f t="shared" si="0"/>
        <v>4.2857142857142856</v>
      </c>
      <c r="AB14" s="2">
        <f t="shared" si="0"/>
        <v>4.4285714285714288</v>
      </c>
      <c r="AC14" s="2">
        <f t="shared" si="0"/>
        <v>4.2857142857142856</v>
      </c>
      <c r="AD14" s="3">
        <f>(AE12-AD12)/7</f>
        <v>4.4285714285714288</v>
      </c>
      <c r="AE14" s="59"/>
      <c r="AF14" s="4"/>
      <c r="AG14" s="4"/>
      <c r="AH14" s="4"/>
      <c r="AI14"/>
      <c r="AJ14"/>
      <c r="AK14"/>
      <c r="AL14"/>
      <c r="AM14"/>
      <c r="AN14"/>
      <c r="AR14" s="23"/>
      <c r="AS14" s="23"/>
      <c r="AT14" s="23"/>
      <c r="AU14" s="23"/>
      <c r="AV14" s="23"/>
    </row>
    <row r="15" spans="1:50" s="28" customFormat="1" x14ac:dyDescent="0.2">
      <c r="A15" s="34"/>
      <c r="B15" s="23"/>
      <c r="C15" s="332" t="s">
        <v>5</v>
      </c>
      <c r="D15" s="333"/>
      <c r="E15" s="333"/>
      <c r="F15" s="333"/>
      <c r="G15" s="1">
        <v>1</v>
      </c>
      <c r="H15" s="2">
        <f t="shared" ref="H15:X15" si="1">G15</f>
        <v>1</v>
      </c>
      <c r="I15" s="2">
        <f t="shared" si="1"/>
        <v>1</v>
      </c>
      <c r="J15" s="2">
        <f t="shared" si="1"/>
        <v>1</v>
      </c>
      <c r="K15" s="2">
        <f t="shared" si="1"/>
        <v>1</v>
      </c>
      <c r="L15" s="2">
        <f t="shared" si="1"/>
        <v>1</v>
      </c>
      <c r="M15" s="2">
        <v>1.05</v>
      </c>
      <c r="N15" s="2">
        <f t="shared" si="1"/>
        <v>1.05</v>
      </c>
      <c r="O15" s="2">
        <f t="shared" si="1"/>
        <v>1.05</v>
      </c>
      <c r="P15" s="2">
        <f t="shared" si="1"/>
        <v>1.05</v>
      </c>
      <c r="Q15" s="2">
        <f t="shared" si="1"/>
        <v>1.05</v>
      </c>
      <c r="R15" s="3">
        <f t="shared" si="1"/>
        <v>1.05</v>
      </c>
      <c r="S15" s="1">
        <f t="shared" si="1"/>
        <v>1.05</v>
      </c>
      <c r="T15" s="2">
        <f t="shared" si="1"/>
        <v>1.05</v>
      </c>
      <c r="U15" s="2">
        <f t="shared" si="1"/>
        <v>1.05</v>
      </c>
      <c r="V15" s="2">
        <f t="shared" si="1"/>
        <v>1.05</v>
      </c>
      <c r="W15" s="2">
        <f t="shared" si="1"/>
        <v>1.05</v>
      </c>
      <c r="X15" s="2">
        <f t="shared" si="1"/>
        <v>1.05</v>
      </c>
      <c r="Y15" s="2">
        <f>X15*1.05</f>
        <v>1.1025</v>
      </c>
      <c r="Z15" s="2">
        <f t="shared" ref="Z15" si="2">Y15</f>
        <v>1.1025</v>
      </c>
      <c r="AA15" s="2">
        <f>Z15</f>
        <v>1.1025</v>
      </c>
      <c r="AB15" s="2">
        <f>AA15</f>
        <v>1.1025</v>
      </c>
      <c r="AC15" s="2">
        <f>AB15</f>
        <v>1.1025</v>
      </c>
      <c r="AD15" s="3">
        <f>AC15</f>
        <v>1.1025</v>
      </c>
      <c r="AE15" s="111"/>
      <c r="AF15" s="4"/>
      <c r="AG15" s="4"/>
      <c r="AH15" s="4"/>
      <c r="AI15"/>
      <c r="AJ15"/>
      <c r="AK15"/>
      <c r="AL15"/>
      <c r="AM15"/>
      <c r="AN15"/>
      <c r="AR15" s="23"/>
      <c r="AS15" s="23"/>
      <c r="AT15" s="23"/>
      <c r="AU15" s="23"/>
      <c r="AV15" s="23"/>
    </row>
    <row r="16" spans="1:50" x14ac:dyDescent="0.2">
      <c r="A16" s="34"/>
      <c r="C16" s="29" t="s">
        <v>37</v>
      </c>
      <c r="D16" s="21"/>
      <c r="E16" s="61" t="s">
        <v>81</v>
      </c>
      <c r="F16" s="12"/>
      <c r="G16" s="5"/>
      <c r="H16" s="6"/>
      <c r="I16" s="6"/>
      <c r="J16" s="6"/>
      <c r="K16" s="6"/>
      <c r="L16" s="6"/>
      <c r="M16" s="6"/>
      <c r="N16" s="6"/>
      <c r="O16" s="6"/>
      <c r="P16" s="6"/>
      <c r="Q16" s="6"/>
      <c r="R16" s="15"/>
      <c r="S16" s="5"/>
      <c r="T16" s="6"/>
      <c r="U16" s="6"/>
      <c r="V16" s="6"/>
      <c r="W16" s="6"/>
      <c r="X16" s="6"/>
      <c r="Y16" s="6"/>
      <c r="Z16" s="6"/>
      <c r="AA16" s="6"/>
      <c r="AB16" s="6"/>
      <c r="AC16" s="6"/>
      <c r="AD16" s="7"/>
      <c r="AE16" s="13"/>
      <c r="AF16" s="8"/>
      <c r="AG16" s="8"/>
      <c r="AH16" s="8"/>
      <c r="AI16"/>
      <c r="AJ16"/>
      <c r="AK16"/>
      <c r="AL16"/>
      <c r="AM16"/>
      <c r="AN16"/>
      <c r="AR16" s="23"/>
      <c r="AW16" s="22"/>
      <c r="AX16" s="22"/>
    </row>
    <row r="17" spans="1:50" x14ac:dyDescent="0.2">
      <c r="A17" s="35">
        <v>10876.281755196305</v>
      </c>
      <c r="C17" s="53"/>
      <c r="D17" s="58" t="s">
        <v>14</v>
      </c>
      <c r="E17" s="71">
        <f t="shared" ref="E17:E22" si="3">A17*0.7</f>
        <v>7613.3972286374128</v>
      </c>
      <c r="F17" s="54"/>
      <c r="G17" s="63"/>
      <c r="H17" s="41"/>
      <c r="I17" s="41"/>
      <c r="J17" s="41"/>
      <c r="K17" s="41"/>
      <c r="L17" s="41"/>
      <c r="M17" s="41"/>
      <c r="N17" s="41"/>
      <c r="O17" s="41"/>
      <c r="P17" s="41"/>
      <c r="Q17" s="41"/>
      <c r="R17" s="76">
        <v>0.02</v>
      </c>
      <c r="S17" s="42"/>
      <c r="T17" s="41"/>
      <c r="U17" s="41"/>
      <c r="V17" s="41"/>
      <c r="W17" s="41"/>
      <c r="X17" s="41"/>
      <c r="Y17" s="41"/>
      <c r="Z17" s="41"/>
      <c r="AA17" s="41"/>
      <c r="AB17" s="41"/>
      <c r="AC17" s="41"/>
      <c r="AD17" s="41"/>
      <c r="AE17" s="112"/>
      <c r="AF17" s="30"/>
      <c r="AG17" s="57"/>
      <c r="AH17" s="30"/>
      <c r="AI17"/>
      <c r="AJ17"/>
      <c r="AK17"/>
      <c r="AL17"/>
      <c r="AM17"/>
      <c r="AN17"/>
      <c r="AR17" s="23"/>
      <c r="AW17" s="22"/>
      <c r="AX17" s="22"/>
    </row>
    <row r="18" spans="1:50" x14ac:dyDescent="0.2">
      <c r="A18" s="35">
        <v>9887.5288683602776</v>
      </c>
      <c r="C18" s="53"/>
      <c r="D18" s="58" t="s">
        <v>12</v>
      </c>
      <c r="E18" s="71">
        <f t="shared" si="3"/>
        <v>6921.2702078521943</v>
      </c>
      <c r="F18" s="54"/>
      <c r="G18" s="63"/>
      <c r="H18" s="41"/>
      <c r="I18" s="41"/>
      <c r="J18" s="41"/>
      <c r="K18" s="41"/>
      <c r="L18" s="41"/>
      <c r="M18" s="41"/>
      <c r="N18" s="41"/>
      <c r="O18" s="41"/>
      <c r="P18" s="41"/>
      <c r="Q18" s="41"/>
      <c r="R18" s="76"/>
      <c r="S18" s="42"/>
      <c r="T18" s="41"/>
      <c r="U18" s="41"/>
      <c r="V18" s="41"/>
      <c r="W18" s="41"/>
      <c r="X18" s="41"/>
      <c r="Y18" s="41"/>
      <c r="Z18" s="41"/>
      <c r="AA18" s="41"/>
      <c r="AB18" s="41"/>
      <c r="AC18" s="41"/>
      <c r="AD18" s="41"/>
      <c r="AE18" s="112"/>
      <c r="AF18" s="30"/>
      <c r="AG18" s="57"/>
      <c r="AH18" s="30"/>
      <c r="AI18"/>
      <c r="AJ18"/>
      <c r="AK18"/>
      <c r="AL18"/>
      <c r="AM18"/>
      <c r="AN18"/>
      <c r="AR18" s="23"/>
      <c r="AW18" s="22"/>
      <c r="AX18" s="22"/>
    </row>
    <row r="19" spans="1:50" x14ac:dyDescent="0.2">
      <c r="A19" s="35">
        <v>5391.6859122401847</v>
      </c>
      <c r="C19" s="53"/>
      <c r="D19" s="58" t="s">
        <v>8</v>
      </c>
      <c r="E19" s="71">
        <f t="shared" si="3"/>
        <v>3774.1801385681292</v>
      </c>
      <c r="F19" s="54"/>
      <c r="G19" s="63">
        <v>0.1</v>
      </c>
      <c r="H19" s="41"/>
      <c r="I19" s="41"/>
      <c r="J19" s="41"/>
      <c r="K19" s="41"/>
      <c r="L19" s="41"/>
      <c r="M19" s="41"/>
      <c r="N19" s="41"/>
      <c r="O19" s="41"/>
      <c r="P19" s="41"/>
      <c r="Q19" s="41"/>
      <c r="R19" s="76"/>
      <c r="S19" s="42"/>
      <c r="T19" s="41"/>
      <c r="U19" s="41"/>
      <c r="V19" s="41"/>
      <c r="W19" s="41"/>
      <c r="X19" s="41"/>
      <c r="Y19" s="41"/>
      <c r="Z19" s="41"/>
      <c r="AA19" s="41"/>
      <c r="AB19" s="41"/>
      <c r="AC19" s="41"/>
      <c r="AD19" s="41"/>
      <c r="AE19" s="112"/>
      <c r="AF19" s="30">
        <f>SUMPRODUCT(G19:AD19,$G$14:$AD$14,$G$15:$AD$15)*(E19)</f>
        <v>1671.4226327944573</v>
      </c>
      <c r="AG19" s="57">
        <f>COUNT(G19:AD19)</f>
        <v>1</v>
      </c>
      <c r="AH19" s="30">
        <f>AF19/AG19</f>
        <v>1671.4226327944573</v>
      </c>
      <c r="AI19"/>
      <c r="AJ19"/>
      <c r="AK19"/>
      <c r="AL19"/>
      <c r="AM19"/>
      <c r="AN19"/>
      <c r="AR19" s="23"/>
      <c r="AW19" s="22"/>
      <c r="AX19" s="22"/>
    </row>
    <row r="20" spans="1:50" x14ac:dyDescent="0.2">
      <c r="A20" s="35">
        <v>3802.7713625866049</v>
      </c>
      <c r="C20" s="53"/>
      <c r="D20" s="58" t="s">
        <v>88</v>
      </c>
      <c r="E20" s="71">
        <f t="shared" si="3"/>
        <v>2661.9399538106231</v>
      </c>
      <c r="F20" s="54"/>
      <c r="G20" s="63"/>
      <c r="H20" s="41"/>
      <c r="I20" s="41"/>
      <c r="J20" s="41"/>
      <c r="K20" s="41"/>
      <c r="L20" s="41"/>
      <c r="M20" s="41"/>
      <c r="N20" s="41"/>
      <c r="O20" s="41"/>
      <c r="P20" s="41"/>
      <c r="Q20" s="41"/>
      <c r="R20" s="76"/>
      <c r="S20" s="42"/>
      <c r="T20" s="41"/>
      <c r="U20" s="41"/>
      <c r="V20" s="41"/>
      <c r="W20" s="41"/>
      <c r="X20" s="41"/>
      <c r="Y20" s="41"/>
      <c r="Z20" s="41"/>
      <c r="AA20" s="41"/>
      <c r="AB20" s="41"/>
      <c r="AC20" s="41"/>
      <c r="AD20" s="41"/>
      <c r="AE20" s="112"/>
      <c r="AF20" s="30"/>
      <c r="AG20" s="57"/>
      <c r="AH20" s="30"/>
      <c r="AI20"/>
      <c r="AJ20"/>
      <c r="AK20"/>
      <c r="AL20"/>
      <c r="AM20"/>
      <c r="AN20"/>
      <c r="AR20" s="23"/>
      <c r="AW20" s="22"/>
      <c r="AX20" s="22"/>
    </row>
    <row r="21" spans="1:50" x14ac:dyDescent="0.2">
      <c r="A21" s="35">
        <v>5057.7367205542723</v>
      </c>
      <c r="C21" s="53"/>
      <c r="D21" s="58" t="s">
        <v>29</v>
      </c>
      <c r="E21" s="71">
        <f t="shared" si="3"/>
        <v>3540.4157043879904</v>
      </c>
      <c r="F21" s="54"/>
      <c r="G21" s="63"/>
      <c r="H21" s="41"/>
      <c r="I21" s="41"/>
      <c r="J21" s="41"/>
      <c r="K21" s="41"/>
      <c r="L21" s="41"/>
      <c r="M21" s="41"/>
      <c r="N21" s="41"/>
      <c r="O21" s="41"/>
      <c r="P21" s="41"/>
      <c r="Q21" s="41"/>
      <c r="R21" s="76"/>
      <c r="S21" s="42"/>
      <c r="T21" s="41"/>
      <c r="U21" s="41"/>
      <c r="V21" s="41"/>
      <c r="W21" s="41"/>
      <c r="X21" s="41"/>
      <c r="Y21" s="41"/>
      <c r="Z21" s="41"/>
      <c r="AA21" s="41"/>
      <c r="AB21" s="41"/>
      <c r="AC21" s="41"/>
      <c r="AD21" s="41"/>
      <c r="AE21" s="112"/>
      <c r="AF21" s="30"/>
      <c r="AG21" s="57"/>
      <c r="AH21" s="30"/>
      <c r="AI21"/>
      <c r="AJ21"/>
      <c r="AK21"/>
      <c r="AL21"/>
      <c r="AM21"/>
      <c r="AN21"/>
      <c r="AR21" s="23"/>
      <c r="AW21" s="22"/>
      <c r="AX21" s="22"/>
    </row>
    <row r="22" spans="1:50" x14ac:dyDescent="0.2">
      <c r="A22" s="35">
        <v>4800</v>
      </c>
      <c r="C22" s="53"/>
      <c r="D22" s="58" t="s">
        <v>31</v>
      </c>
      <c r="E22" s="71">
        <f t="shared" si="3"/>
        <v>3360</v>
      </c>
      <c r="F22" s="54"/>
      <c r="G22" s="63">
        <v>1</v>
      </c>
      <c r="H22" s="41">
        <v>1</v>
      </c>
      <c r="I22" s="41">
        <v>1</v>
      </c>
      <c r="J22" s="41">
        <v>1</v>
      </c>
      <c r="K22" s="41">
        <v>0.5</v>
      </c>
      <c r="L22" s="41">
        <v>0.5</v>
      </c>
      <c r="M22" s="41">
        <v>0.25</v>
      </c>
      <c r="N22" s="41">
        <v>0.25</v>
      </c>
      <c r="O22" s="41">
        <v>0.25</v>
      </c>
      <c r="P22" s="41">
        <v>0.25</v>
      </c>
      <c r="Q22" s="41">
        <v>0.25</v>
      </c>
      <c r="R22" s="76">
        <v>0.4</v>
      </c>
      <c r="S22" s="42">
        <v>0.1</v>
      </c>
      <c r="T22" s="41">
        <v>0.1</v>
      </c>
      <c r="U22" s="41">
        <v>0.1</v>
      </c>
      <c r="V22" s="41">
        <v>0.1</v>
      </c>
      <c r="W22" s="41">
        <v>0.1</v>
      </c>
      <c r="X22" s="41">
        <v>0.1</v>
      </c>
      <c r="Y22" s="41">
        <v>0.1</v>
      </c>
      <c r="Z22" s="41">
        <v>0.1</v>
      </c>
      <c r="AA22" s="41">
        <v>0.1</v>
      </c>
      <c r="AB22" s="41">
        <v>0.05</v>
      </c>
      <c r="AC22" s="41">
        <v>0.05</v>
      </c>
      <c r="AD22" s="41">
        <v>0.05</v>
      </c>
      <c r="AE22" s="112"/>
      <c r="AF22" s="30">
        <f>SUMPRODUCT(G22:AD22,$G$14:$AD$14,$G$15:$AD$15)*(E22)</f>
        <v>114243.35999999997</v>
      </c>
      <c r="AG22" s="57">
        <f>COUNT(G22:AD22)</f>
        <v>24</v>
      </c>
      <c r="AH22" s="30">
        <f>AF22/AG22</f>
        <v>4760.1399999999985</v>
      </c>
      <c r="AI22"/>
      <c r="AJ22"/>
      <c r="AK22"/>
      <c r="AL22"/>
      <c r="AM22"/>
      <c r="AN22"/>
      <c r="AR22" s="23"/>
      <c r="AW22" s="22"/>
      <c r="AX22" s="22"/>
    </row>
    <row r="23" spans="1:50" ht="16" thickBot="1" x14ac:dyDescent="0.25">
      <c r="A23" s="35"/>
      <c r="C23" s="53"/>
      <c r="D23" s="58"/>
      <c r="E23" s="71"/>
      <c r="F23" s="54"/>
      <c r="G23" s="63"/>
      <c r="H23" s="41"/>
      <c r="I23" s="41"/>
      <c r="J23" s="41"/>
      <c r="K23" s="41"/>
      <c r="L23" s="41"/>
      <c r="M23" s="41"/>
      <c r="N23" s="41"/>
      <c r="O23" s="41"/>
      <c r="P23" s="41"/>
      <c r="Q23" s="41"/>
      <c r="R23" s="76"/>
      <c r="S23" s="42"/>
      <c r="T23" s="41"/>
      <c r="U23" s="41"/>
      <c r="V23" s="41"/>
      <c r="W23" s="41"/>
      <c r="X23" s="41"/>
      <c r="Y23" s="41"/>
      <c r="Z23" s="41"/>
      <c r="AA23" s="41"/>
      <c r="AB23" s="41"/>
      <c r="AC23" s="41"/>
      <c r="AD23" s="41"/>
      <c r="AE23" s="112"/>
      <c r="AF23" s="56"/>
      <c r="AG23" s="57"/>
      <c r="AH23" s="56"/>
      <c r="AI23"/>
      <c r="AJ23"/>
      <c r="AK23"/>
      <c r="AL23"/>
      <c r="AM23"/>
      <c r="AN23"/>
      <c r="AR23" s="23"/>
      <c r="AW23" s="22"/>
      <c r="AX23" s="22"/>
    </row>
    <row r="24" spans="1:50" ht="16" thickBot="1" x14ac:dyDescent="0.25">
      <c r="A24" s="36"/>
      <c r="C24" s="327" t="s">
        <v>36</v>
      </c>
      <c r="D24" s="328"/>
      <c r="E24" s="329"/>
      <c r="F24" s="20"/>
      <c r="G24" s="11">
        <f t="shared" ref="G24:AD24" si="4">SUMPRODUCT(($A$17:$A$23),(G17:G23))*(G14)*(G15)</f>
        <v>23644.889475420652</v>
      </c>
      <c r="H24" s="98">
        <f t="shared" si="4"/>
        <v>19200</v>
      </c>
      <c r="I24" s="98">
        <f t="shared" si="4"/>
        <v>21257.142857142859</v>
      </c>
      <c r="J24" s="98">
        <f t="shared" si="4"/>
        <v>20571.428571428572</v>
      </c>
      <c r="K24" s="98">
        <f t="shared" si="4"/>
        <v>10628.571428571429</v>
      </c>
      <c r="L24" s="98">
        <f t="shared" si="4"/>
        <v>10285.714285714286</v>
      </c>
      <c r="M24" s="98">
        <f t="shared" si="4"/>
        <v>5580.0000000000009</v>
      </c>
      <c r="N24" s="98">
        <f t="shared" si="4"/>
        <v>5580.0000000000009</v>
      </c>
      <c r="O24" s="98">
        <f t="shared" si="4"/>
        <v>5400.0000000000009</v>
      </c>
      <c r="P24" s="98">
        <f t="shared" si="4"/>
        <v>5580.0000000000009</v>
      </c>
      <c r="Q24" s="98">
        <f t="shared" si="4"/>
        <v>5400.0000000000009</v>
      </c>
      <c r="R24" s="99">
        <f>SUMPRODUCT(($A$17:$A$23),(R17:R23))*(R14)*(R15)</f>
        <v>9939.4942032332583</v>
      </c>
      <c r="S24" s="11">
        <f t="shared" si="4"/>
        <v>2232</v>
      </c>
      <c r="T24" s="9">
        <f t="shared" si="4"/>
        <v>2088</v>
      </c>
      <c r="U24" s="9">
        <f t="shared" si="4"/>
        <v>2232</v>
      </c>
      <c r="V24" s="9">
        <f t="shared" si="4"/>
        <v>2160</v>
      </c>
      <c r="W24" s="9">
        <f t="shared" si="4"/>
        <v>2232</v>
      </c>
      <c r="X24" s="9">
        <f t="shared" si="4"/>
        <v>2160</v>
      </c>
      <c r="Y24" s="9">
        <f t="shared" si="4"/>
        <v>2343.6000000000004</v>
      </c>
      <c r="Z24" s="9">
        <f t="shared" si="4"/>
        <v>2343.6000000000004</v>
      </c>
      <c r="AA24" s="9">
        <f t="shared" si="4"/>
        <v>2268</v>
      </c>
      <c r="AB24" s="9">
        <f t="shared" si="4"/>
        <v>1171.8000000000002</v>
      </c>
      <c r="AC24" s="9">
        <f t="shared" si="4"/>
        <v>1134</v>
      </c>
      <c r="AD24" s="10">
        <f t="shared" si="4"/>
        <v>1171.8000000000002</v>
      </c>
      <c r="AE24" s="14"/>
      <c r="AF24" s="19">
        <f>SUM(G24:AD24)</f>
        <v>166604.04082151107</v>
      </c>
      <c r="AG24" s="106">
        <f>COUNT(G24:AD24)</f>
        <v>24</v>
      </c>
      <c r="AH24" s="18">
        <f>AF24/AG24</f>
        <v>6941.835034229628</v>
      </c>
      <c r="AI24"/>
      <c r="AJ24" s="162"/>
      <c r="AL24"/>
      <c r="AM24"/>
      <c r="AN24"/>
      <c r="AR24" s="23"/>
      <c r="AW24" s="22"/>
      <c r="AX24" s="22"/>
    </row>
    <row r="25" spans="1:50" customFormat="1" ht="6" customHeight="1" thickBot="1" x14ac:dyDescent="0.25">
      <c r="AO25" s="22"/>
      <c r="AP25" s="22"/>
      <c r="AQ25" s="22"/>
    </row>
    <row r="26" spans="1:50" x14ac:dyDescent="0.2">
      <c r="A26" s="34"/>
      <c r="C26" s="86" t="s">
        <v>33</v>
      </c>
      <c r="D26" s="87"/>
      <c r="E26" s="88"/>
      <c r="F26" s="89"/>
      <c r="G26" s="90"/>
      <c r="H26" s="91"/>
      <c r="I26" s="91"/>
      <c r="J26" s="91"/>
      <c r="K26" s="91"/>
      <c r="L26" s="91"/>
      <c r="M26" s="91"/>
      <c r="N26" s="91"/>
      <c r="O26" s="91"/>
      <c r="P26" s="91"/>
      <c r="Q26" s="91"/>
      <c r="R26" s="92"/>
      <c r="S26" s="90"/>
      <c r="T26" s="91"/>
      <c r="U26" s="91"/>
      <c r="V26" s="91"/>
      <c r="W26" s="91"/>
      <c r="X26" s="91"/>
      <c r="Y26" s="91"/>
      <c r="Z26" s="91"/>
      <c r="AA26" s="91"/>
      <c r="AB26" s="91"/>
      <c r="AC26" s="91"/>
      <c r="AD26" s="93"/>
      <c r="AE26" s="94"/>
      <c r="AF26" s="95"/>
      <c r="AG26" s="95"/>
      <c r="AH26" s="95"/>
      <c r="AI26"/>
      <c r="AJ26"/>
      <c r="AK26"/>
      <c r="AL26"/>
      <c r="AM26"/>
      <c r="AN26"/>
      <c r="AR26" s="23"/>
      <c r="AW26" s="22"/>
      <c r="AX26" s="22"/>
    </row>
    <row r="27" spans="1:50" x14ac:dyDescent="0.2">
      <c r="A27" s="35">
        <f>$F$2*0.00001</f>
        <v>375.00000000000006</v>
      </c>
      <c r="C27" s="53"/>
      <c r="D27" s="58" t="s">
        <v>20</v>
      </c>
      <c r="E27" s="62"/>
      <c r="F27" s="167"/>
      <c r="G27" s="77"/>
      <c r="H27" s="78"/>
      <c r="I27" s="78">
        <f>$A$27*0.8</f>
        <v>300.00000000000006</v>
      </c>
      <c r="J27" s="78">
        <f t="shared" ref="J27:L27" si="5">$A$27*0.8</f>
        <v>300.00000000000006</v>
      </c>
      <c r="K27" s="78">
        <f t="shared" si="5"/>
        <v>300.00000000000006</v>
      </c>
      <c r="L27" s="78">
        <f t="shared" si="5"/>
        <v>300.00000000000006</v>
      </c>
      <c r="M27" s="78">
        <f>$A$27*0.6</f>
        <v>225.00000000000003</v>
      </c>
      <c r="N27" s="78">
        <f t="shared" ref="N27:O27" si="6">$A$27*0.6</f>
        <v>225.00000000000003</v>
      </c>
      <c r="O27" s="78">
        <f t="shared" si="6"/>
        <v>225.00000000000003</v>
      </c>
      <c r="P27" s="78">
        <f>$A$27*0.4</f>
        <v>150.00000000000003</v>
      </c>
      <c r="Q27" s="78">
        <f>$A$27*0.4</f>
        <v>150.00000000000003</v>
      </c>
      <c r="R27" s="168">
        <f>$A$27*0.8</f>
        <v>300.00000000000006</v>
      </c>
      <c r="S27" s="80">
        <f t="shared" ref="S27:AD27" si="7">$A$27*0.4</f>
        <v>150.00000000000003</v>
      </c>
      <c r="T27" s="78">
        <f t="shared" si="7"/>
        <v>150.00000000000003</v>
      </c>
      <c r="U27" s="78">
        <f t="shared" si="7"/>
        <v>150.00000000000003</v>
      </c>
      <c r="V27" s="78">
        <f t="shared" si="7"/>
        <v>150.00000000000003</v>
      </c>
      <c r="W27" s="78">
        <f t="shared" si="7"/>
        <v>150.00000000000003</v>
      </c>
      <c r="X27" s="78">
        <f t="shared" si="7"/>
        <v>150.00000000000003</v>
      </c>
      <c r="Y27" s="78">
        <f t="shared" si="7"/>
        <v>150.00000000000003</v>
      </c>
      <c r="Z27" s="78">
        <f t="shared" si="7"/>
        <v>150.00000000000003</v>
      </c>
      <c r="AA27" s="78">
        <f t="shared" si="7"/>
        <v>150.00000000000003</v>
      </c>
      <c r="AB27" s="78">
        <f t="shared" si="7"/>
        <v>150.00000000000003</v>
      </c>
      <c r="AC27" s="78">
        <f t="shared" si="7"/>
        <v>150.00000000000003</v>
      </c>
      <c r="AD27" s="78">
        <f t="shared" si="7"/>
        <v>150.00000000000003</v>
      </c>
      <c r="AE27" s="113"/>
      <c r="AF27" s="56">
        <f>SUM(G27:AD27)</f>
        <v>4275.0000000000009</v>
      </c>
      <c r="AG27" s="57">
        <f>COUNT(G27:AD27)</f>
        <v>22</v>
      </c>
      <c r="AH27" s="30">
        <f>AF27/AG27</f>
        <v>194.31818181818187</v>
      </c>
      <c r="AI27"/>
      <c r="AJ27"/>
      <c r="AK27"/>
      <c r="AL27"/>
      <c r="AM27"/>
      <c r="AN27"/>
      <c r="AO27"/>
      <c r="AP27"/>
      <c r="AQ27"/>
      <c r="AR27"/>
      <c r="AS27"/>
      <c r="AW27" s="22"/>
      <c r="AX27" s="22"/>
    </row>
    <row r="28" spans="1:50" x14ac:dyDescent="0.2">
      <c r="A28" s="35">
        <f>$F$2*0.00001</f>
        <v>375.00000000000006</v>
      </c>
      <c r="C28" s="53"/>
      <c r="D28" s="58" t="s">
        <v>21</v>
      </c>
      <c r="E28" s="62"/>
      <c r="F28" s="54"/>
      <c r="G28" s="77"/>
      <c r="H28" s="78">
        <f>$A$28*2</f>
        <v>750.00000000000011</v>
      </c>
      <c r="I28" s="78">
        <f t="shared" ref="I28:K28" si="8">$A$28*2</f>
        <v>750.00000000000011</v>
      </c>
      <c r="J28" s="78">
        <f t="shared" si="8"/>
        <v>750.00000000000011</v>
      </c>
      <c r="K28" s="78">
        <f t="shared" si="8"/>
        <v>750.00000000000011</v>
      </c>
      <c r="L28" s="78">
        <f>$A$28*4</f>
        <v>1500.0000000000002</v>
      </c>
      <c r="M28" s="78">
        <f>$A$28*4</f>
        <v>1500.0000000000002</v>
      </c>
      <c r="N28" s="78">
        <f t="shared" ref="N28" si="9">$A$28*2</f>
        <v>750.00000000000011</v>
      </c>
      <c r="O28" s="78">
        <f>$A$28*0.8</f>
        <v>300.00000000000006</v>
      </c>
      <c r="P28" s="78">
        <f>$A$28*0.8</f>
        <v>300.00000000000006</v>
      </c>
      <c r="Q28" s="78">
        <f>$A$28*0.4</f>
        <v>150.00000000000003</v>
      </c>
      <c r="R28" s="79">
        <f>$A$28*2</f>
        <v>750.00000000000011</v>
      </c>
      <c r="S28" s="80">
        <f t="shared" ref="S28:AD28" si="10">$A$28*0.4</f>
        <v>150.00000000000003</v>
      </c>
      <c r="T28" s="78">
        <f t="shared" si="10"/>
        <v>150.00000000000003</v>
      </c>
      <c r="U28" s="78">
        <f t="shared" si="10"/>
        <v>150.00000000000003</v>
      </c>
      <c r="V28" s="78">
        <f t="shared" si="10"/>
        <v>150.00000000000003</v>
      </c>
      <c r="W28" s="78">
        <f t="shared" si="10"/>
        <v>150.00000000000003</v>
      </c>
      <c r="X28" s="78">
        <f t="shared" si="10"/>
        <v>150.00000000000003</v>
      </c>
      <c r="Y28" s="78">
        <f t="shared" si="10"/>
        <v>150.00000000000003</v>
      </c>
      <c r="Z28" s="78">
        <f t="shared" si="10"/>
        <v>150.00000000000003</v>
      </c>
      <c r="AA28" s="78">
        <f t="shared" si="10"/>
        <v>150.00000000000003</v>
      </c>
      <c r="AB28" s="78">
        <f t="shared" si="10"/>
        <v>150.00000000000003</v>
      </c>
      <c r="AC28" s="78">
        <f t="shared" si="10"/>
        <v>150.00000000000003</v>
      </c>
      <c r="AD28" s="78">
        <f t="shared" si="10"/>
        <v>150.00000000000003</v>
      </c>
      <c r="AE28" s="113"/>
      <c r="AF28" s="56">
        <f>SUM(G28:AD28)</f>
        <v>10050.000000000002</v>
      </c>
      <c r="AG28" s="57">
        <f>COUNT(G28:AD28)</f>
        <v>23</v>
      </c>
      <c r="AH28" s="30">
        <f>AF28/AG28</f>
        <v>436.95652173913049</v>
      </c>
      <c r="AI28"/>
      <c r="AJ28"/>
      <c r="AK28"/>
      <c r="AL28"/>
      <c r="AM28"/>
      <c r="AN28"/>
      <c r="AO28"/>
      <c r="AP28"/>
      <c r="AQ28"/>
      <c r="AR28"/>
      <c r="AS28"/>
      <c r="AW28" s="22"/>
      <c r="AX28" s="22"/>
    </row>
    <row r="29" spans="1:50" x14ac:dyDescent="0.2">
      <c r="A29" s="35">
        <f>$F$2*0.00001</f>
        <v>375.00000000000006</v>
      </c>
      <c r="C29" s="53"/>
      <c r="D29" s="58" t="s">
        <v>22</v>
      </c>
      <c r="E29" s="62"/>
      <c r="F29" s="54"/>
      <c r="G29" s="78">
        <f>$A$29*0.4</f>
        <v>150.00000000000003</v>
      </c>
      <c r="H29" s="78">
        <f t="shared" ref="H29:I29" si="11">$A$29*0.4</f>
        <v>150.00000000000003</v>
      </c>
      <c r="I29" s="78">
        <f t="shared" si="11"/>
        <v>150.00000000000003</v>
      </c>
      <c r="J29" s="78">
        <f>$A$29*0.2</f>
        <v>75.000000000000014</v>
      </c>
      <c r="K29" s="78">
        <f>$A$29*0.2</f>
        <v>75.000000000000014</v>
      </c>
      <c r="L29" s="78"/>
      <c r="M29" s="78"/>
      <c r="N29" s="78"/>
      <c r="O29" s="78"/>
      <c r="P29" s="78"/>
      <c r="Q29" s="78"/>
      <c r="R29" s="79"/>
      <c r="S29" s="80"/>
      <c r="T29" s="78"/>
      <c r="U29" s="78"/>
      <c r="V29" s="78"/>
      <c r="W29" s="78"/>
      <c r="X29" s="78"/>
      <c r="Y29" s="78"/>
      <c r="Z29" s="78"/>
      <c r="AA29" s="78"/>
      <c r="AB29" s="78"/>
      <c r="AC29" s="78"/>
      <c r="AD29" s="78"/>
      <c r="AE29" s="113"/>
      <c r="AF29" s="56">
        <f>SUM(G29:AD29)</f>
        <v>600.00000000000011</v>
      </c>
      <c r="AG29" s="57">
        <f>COUNT(G29:AD29)</f>
        <v>5</v>
      </c>
      <c r="AH29" s="30">
        <f>AF29/AG29</f>
        <v>120.00000000000003</v>
      </c>
      <c r="AI29"/>
      <c r="AJ29"/>
      <c r="AK29"/>
      <c r="AL29"/>
      <c r="AM29"/>
      <c r="AN29"/>
      <c r="AO29"/>
      <c r="AP29"/>
      <c r="AQ29"/>
      <c r="AR29"/>
      <c r="AS29"/>
      <c r="AW29" s="22"/>
      <c r="AX29" s="22"/>
    </row>
    <row r="30" spans="1:50" x14ac:dyDescent="0.2">
      <c r="A30" s="35">
        <f>$F$2*0.00001</f>
        <v>375.00000000000006</v>
      </c>
      <c r="C30" s="53"/>
      <c r="D30" s="58" t="s">
        <v>19</v>
      </c>
      <c r="E30" s="62"/>
      <c r="F30" s="54"/>
      <c r="G30" s="77"/>
      <c r="H30" s="78"/>
      <c r="I30" s="78">
        <f>$A$30*0.4</f>
        <v>150.00000000000003</v>
      </c>
      <c r="J30" s="78">
        <f>$A$30*0.4</f>
        <v>150.00000000000003</v>
      </c>
      <c r="K30" s="78"/>
      <c r="L30" s="78"/>
      <c r="M30" s="78"/>
      <c r="N30" s="78"/>
      <c r="O30" s="78"/>
      <c r="P30" s="78">
        <f>$A$30</f>
        <v>375.00000000000006</v>
      </c>
      <c r="Q30" s="78">
        <f>$A$30</f>
        <v>375.00000000000006</v>
      </c>
      <c r="R30" s="79"/>
      <c r="S30" s="80"/>
      <c r="T30" s="78"/>
      <c r="U30" s="78"/>
      <c r="V30" s="78"/>
      <c r="W30" s="78"/>
      <c r="X30" s="78"/>
      <c r="Y30" s="78"/>
      <c r="Z30" s="78"/>
      <c r="AA30" s="78"/>
      <c r="AB30" s="78"/>
      <c r="AC30" s="78"/>
      <c r="AD30" s="78"/>
      <c r="AE30" s="113"/>
      <c r="AF30" s="56">
        <f>SUM(G30:AD30)</f>
        <v>1050.0000000000002</v>
      </c>
      <c r="AG30" s="57">
        <f>COUNT(G30:AD30)</f>
        <v>4</v>
      </c>
      <c r="AH30" s="30">
        <f>AF30/AG30</f>
        <v>262.50000000000006</v>
      </c>
      <c r="AI30"/>
      <c r="AJ30"/>
      <c r="AK30"/>
      <c r="AL30"/>
      <c r="AM30"/>
      <c r="AN30"/>
      <c r="AO30"/>
      <c r="AP30"/>
      <c r="AQ30"/>
      <c r="AR30"/>
      <c r="AS30"/>
      <c r="AW30" s="22"/>
      <c r="AX30" s="22"/>
    </row>
    <row r="31" spans="1:50" ht="16" thickBot="1" x14ac:dyDescent="0.25">
      <c r="A31" s="35"/>
      <c r="C31" s="53"/>
      <c r="D31" s="58"/>
      <c r="E31" s="71"/>
      <c r="F31" s="54"/>
      <c r="G31" s="77"/>
      <c r="H31" s="78"/>
      <c r="I31" s="78"/>
      <c r="J31" s="78"/>
      <c r="K31" s="78"/>
      <c r="L31" s="78"/>
      <c r="M31" s="78"/>
      <c r="N31" s="78"/>
      <c r="O31" s="78"/>
      <c r="P31" s="78"/>
      <c r="Q31" s="78"/>
      <c r="R31" s="79"/>
      <c r="S31" s="80"/>
      <c r="T31" s="78"/>
      <c r="U31" s="78"/>
      <c r="V31" s="78"/>
      <c r="W31" s="78"/>
      <c r="X31" s="78"/>
      <c r="Y31" s="78"/>
      <c r="Z31" s="78"/>
      <c r="AA31" s="78"/>
      <c r="AB31" s="78"/>
      <c r="AC31" s="78"/>
      <c r="AD31" s="78"/>
      <c r="AE31" s="113"/>
      <c r="AF31" s="56"/>
      <c r="AG31" s="57"/>
      <c r="AH31" s="56"/>
      <c r="AI31"/>
      <c r="AJ31"/>
      <c r="AK31"/>
      <c r="AL31"/>
      <c r="AM31"/>
      <c r="AN31"/>
      <c r="AO31"/>
      <c r="AP31"/>
      <c r="AQ31"/>
      <c r="AR31"/>
      <c r="AS31"/>
      <c r="AW31" s="22"/>
      <c r="AX31" s="22"/>
    </row>
    <row r="32" spans="1:50" ht="16" thickBot="1" x14ac:dyDescent="0.25">
      <c r="A32" s="36"/>
      <c r="C32" s="327" t="s">
        <v>38</v>
      </c>
      <c r="D32" s="328"/>
      <c r="E32" s="329"/>
      <c r="F32" s="20"/>
      <c r="G32" s="11">
        <f t="shared" ref="G32:AD32" si="12">SUM(G27:G30)</f>
        <v>150.00000000000003</v>
      </c>
      <c r="H32" s="9">
        <f t="shared" si="12"/>
        <v>900.00000000000011</v>
      </c>
      <c r="I32" s="9">
        <f t="shared" si="12"/>
        <v>1350.0000000000002</v>
      </c>
      <c r="J32" s="9">
        <f t="shared" si="12"/>
        <v>1275.0000000000002</v>
      </c>
      <c r="K32" s="9">
        <f t="shared" si="12"/>
        <v>1125.0000000000002</v>
      </c>
      <c r="L32" s="9">
        <f t="shared" si="12"/>
        <v>1800.0000000000002</v>
      </c>
      <c r="M32" s="9">
        <f t="shared" si="12"/>
        <v>1725.0000000000002</v>
      </c>
      <c r="N32" s="9">
        <f t="shared" si="12"/>
        <v>975.00000000000011</v>
      </c>
      <c r="O32" s="9">
        <f t="shared" si="12"/>
        <v>525.00000000000011</v>
      </c>
      <c r="P32" s="9">
        <f t="shared" si="12"/>
        <v>825.00000000000023</v>
      </c>
      <c r="Q32" s="9">
        <f t="shared" si="12"/>
        <v>675.00000000000011</v>
      </c>
      <c r="R32" s="10">
        <f t="shared" si="12"/>
        <v>1050.0000000000002</v>
      </c>
      <c r="S32" s="11">
        <f t="shared" si="12"/>
        <v>300.00000000000006</v>
      </c>
      <c r="T32" s="9">
        <f t="shared" si="12"/>
        <v>300.00000000000006</v>
      </c>
      <c r="U32" s="9">
        <f t="shared" si="12"/>
        <v>300.00000000000006</v>
      </c>
      <c r="V32" s="9">
        <f t="shared" si="12"/>
        <v>300.00000000000006</v>
      </c>
      <c r="W32" s="9">
        <f t="shared" si="12"/>
        <v>300.00000000000006</v>
      </c>
      <c r="X32" s="9">
        <f t="shared" si="12"/>
        <v>300.00000000000006</v>
      </c>
      <c r="Y32" s="9">
        <f t="shared" si="12"/>
        <v>300.00000000000006</v>
      </c>
      <c r="Z32" s="9">
        <f t="shared" si="12"/>
        <v>300.00000000000006</v>
      </c>
      <c r="AA32" s="9">
        <f t="shared" si="12"/>
        <v>300.00000000000006</v>
      </c>
      <c r="AB32" s="9">
        <f t="shared" si="12"/>
        <v>300.00000000000006</v>
      </c>
      <c r="AC32" s="9">
        <f t="shared" si="12"/>
        <v>300.00000000000006</v>
      </c>
      <c r="AD32" s="10">
        <f t="shared" si="12"/>
        <v>300.00000000000006</v>
      </c>
      <c r="AE32" s="14"/>
      <c r="AF32" s="19">
        <f>SUM(G32:AD32)</f>
        <v>15975.000000000002</v>
      </c>
      <c r="AG32" s="106">
        <f>COUNT(G32:AD32)</f>
        <v>24</v>
      </c>
      <c r="AH32" s="18">
        <f>AF32/AG32</f>
        <v>665.62500000000011</v>
      </c>
      <c r="AI32"/>
      <c r="AJ32" s="162"/>
      <c r="AL32"/>
      <c r="AM32"/>
      <c r="AN32"/>
      <c r="AO32"/>
      <c r="AP32"/>
      <c r="AQ32"/>
      <c r="AR32"/>
      <c r="AS32"/>
      <c r="AW32" s="22"/>
      <c r="AX32" s="22"/>
    </row>
    <row r="33" spans="1:50" customFormat="1" ht="6" customHeight="1" thickBot="1" x14ac:dyDescent="0.25"/>
    <row r="34" spans="1:50" x14ac:dyDescent="0.2">
      <c r="A34" s="34"/>
      <c r="C34" s="86" t="s">
        <v>34</v>
      </c>
      <c r="D34" s="87"/>
      <c r="E34" s="96" t="s">
        <v>13</v>
      </c>
      <c r="F34" s="97" t="s">
        <v>35</v>
      </c>
      <c r="G34" s="90"/>
      <c r="H34" s="91"/>
      <c r="I34" s="91"/>
      <c r="J34" s="91"/>
      <c r="K34" s="91"/>
      <c r="L34" s="91"/>
      <c r="M34" s="91"/>
      <c r="N34" s="91"/>
      <c r="O34" s="91"/>
      <c r="P34" s="91"/>
      <c r="Q34" s="91"/>
      <c r="R34" s="92"/>
      <c r="S34" s="90"/>
      <c r="T34" s="91"/>
      <c r="U34" s="91"/>
      <c r="V34" s="91"/>
      <c r="W34" s="91"/>
      <c r="X34" s="91"/>
      <c r="Y34" s="91"/>
      <c r="Z34" s="91"/>
      <c r="AA34" s="91"/>
      <c r="AB34" s="91"/>
      <c r="AC34" s="91"/>
      <c r="AD34" s="93"/>
      <c r="AE34" s="94"/>
      <c r="AF34" s="95"/>
      <c r="AG34" s="95"/>
      <c r="AH34" s="95"/>
      <c r="AI34"/>
      <c r="AJ34"/>
      <c r="AK34"/>
      <c r="AL34"/>
      <c r="AM34"/>
      <c r="AN34"/>
      <c r="AO34"/>
      <c r="AP34"/>
      <c r="AQ34"/>
      <c r="AR34"/>
      <c r="AS34"/>
      <c r="AW34" s="22"/>
      <c r="AX34" s="22"/>
    </row>
    <row r="35" spans="1:50" x14ac:dyDescent="0.2">
      <c r="A35" s="35">
        <f>E35*F35</f>
        <v>300</v>
      </c>
      <c r="C35" s="39"/>
      <c r="D35" s="58" t="s">
        <v>34</v>
      </c>
      <c r="E35" s="85">
        <v>4</v>
      </c>
      <c r="F35" s="40">
        <f>F1</f>
        <v>75</v>
      </c>
      <c r="G35" s="64">
        <v>1</v>
      </c>
      <c r="H35" s="41">
        <v>1</v>
      </c>
      <c r="I35" s="41">
        <v>1</v>
      </c>
      <c r="J35" s="41">
        <v>1</v>
      </c>
      <c r="K35" s="41">
        <v>1</v>
      </c>
      <c r="L35" s="41">
        <v>1</v>
      </c>
      <c r="M35" s="41">
        <v>1</v>
      </c>
      <c r="N35" s="41">
        <v>1</v>
      </c>
      <c r="O35" s="41">
        <v>1</v>
      </c>
      <c r="P35" s="41">
        <v>1</v>
      </c>
      <c r="Q35" s="41">
        <v>1</v>
      </c>
      <c r="R35" s="41">
        <v>1</v>
      </c>
      <c r="S35" s="67">
        <v>1</v>
      </c>
      <c r="T35" s="65">
        <v>1</v>
      </c>
      <c r="U35" s="65">
        <v>1</v>
      </c>
      <c r="V35" s="65">
        <v>1</v>
      </c>
      <c r="W35" s="65">
        <v>1</v>
      </c>
      <c r="X35" s="65">
        <v>1</v>
      </c>
      <c r="Y35" s="65">
        <v>1</v>
      </c>
      <c r="Z35" s="65">
        <v>1</v>
      </c>
      <c r="AA35" s="65">
        <v>1</v>
      </c>
      <c r="AB35" s="65">
        <v>1</v>
      </c>
      <c r="AC35" s="65">
        <v>1</v>
      </c>
      <c r="AD35" s="65">
        <v>1</v>
      </c>
      <c r="AE35" s="114"/>
      <c r="AF35" s="30">
        <f>SUMPRODUCT(G35:AD35)*(A35)</f>
        <v>7200</v>
      </c>
      <c r="AG35" s="57">
        <f>COUNT(G35:AD35)</f>
        <v>24</v>
      </c>
      <c r="AH35" s="30">
        <f>AF35/AG35</f>
        <v>300</v>
      </c>
      <c r="AI35"/>
      <c r="AJ35"/>
      <c r="AK35"/>
      <c r="AL35"/>
      <c r="AM35"/>
      <c r="AN35"/>
      <c r="AO35"/>
      <c r="AP35"/>
      <c r="AQ35"/>
      <c r="AR35"/>
      <c r="AS35"/>
      <c r="AW35" s="22"/>
      <c r="AX35" s="22"/>
    </row>
    <row r="36" spans="1:50" ht="16" thickBot="1" x14ac:dyDescent="0.25">
      <c r="A36" s="35"/>
      <c r="C36" s="39"/>
      <c r="D36" s="58"/>
      <c r="E36" s="58"/>
      <c r="F36" s="40"/>
      <c r="G36" s="64"/>
      <c r="H36" s="41"/>
      <c r="I36" s="41"/>
      <c r="J36" s="41"/>
      <c r="K36" s="41"/>
      <c r="L36" s="41"/>
      <c r="M36" s="41"/>
      <c r="N36" s="41"/>
      <c r="O36" s="41"/>
      <c r="P36" s="65"/>
      <c r="Q36" s="65"/>
      <c r="R36" s="66"/>
      <c r="S36" s="67"/>
      <c r="T36" s="65"/>
      <c r="U36" s="65"/>
      <c r="V36" s="65"/>
      <c r="W36" s="65"/>
      <c r="X36" s="65"/>
      <c r="Y36" s="65"/>
      <c r="Z36" s="65"/>
      <c r="AA36" s="55"/>
      <c r="AB36" s="55"/>
      <c r="AC36" s="55"/>
      <c r="AD36" s="51"/>
      <c r="AE36" s="52"/>
      <c r="AF36" s="30"/>
      <c r="AG36" s="31"/>
      <c r="AH36" s="30"/>
      <c r="AI36"/>
      <c r="AJ36"/>
      <c r="AK36"/>
      <c r="AL36"/>
      <c r="AM36"/>
      <c r="AN36"/>
      <c r="AO36"/>
      <c r="AP36"/>
      <c r="AQ36"/>
      <c r="AR36"/>
      <c r="AS36"/>
      <c r="AW36" s="22"/>
      <c r="AX36" s="22"/>
    </row>
    <row r="37" spans="1:50" ht="16" thickBot="1" x14ac:dyDescent="0.25">
      <c r="A37" s="36"/>
      <c r="C37" s="327" t="s">
        <v>39</v>
      </c>
      <c r="D37" s="328"/>
      <c r="E37" s="329"/>
      <c r="F37" s="20"/>
      <c r="G37" s="11">
        <f t="shared" ref="G37:AD37" si="13">SUMPRODUCT(($A$35:$A$36),(G35:G36))</f>
        <v>300</v>
      </c>
      <c r="H37" s="9">
        <f t="shared" si="13"/>
        <v>300</v>
      </c>
      <c r="I37" s="9">
        <f t="shared" si="13"/>
        <v>300</v>
      </c>
      <c r="J37" s="9">
        <f t="shared" si="13"/>
        <v>300</v>
      </c>
      <c r="K37" s="9">
        <f t="shared" si="13"/>
        <v>300</v>
      </c>
      <c r="L37" s="9">
        <f t="shared" si="13"/>
        <v>300</v>
      </c>
      <c r="M37" s="9">
        <f t="shared" si="13"/>
        <v>300</v>
      </c>
      <c r="N37" s="9">
        <f t="shared" si="13"/>
        <v>300</v>
      </c>
      <c r="O37" s="9">
        <f t="shared" si="13"/>
        <v>300</v>
      </c>
      <c r="P37" s="9">
        <f t="shared" si="13"/>
        <v>300</v>
      </c>
      <c r="Q37" s="9">
        <f t="shared" si="13"/>
        <v>300</v>
      </c>
      <c r="R37" s="10">
        <f t="shared" si="13"/>
        <v>300</v>
      </c>
      <c r="S37" s="11">
        <f t="shared" si="13"/>
        <v>300</v>
      </c>
      <c r="T37" s="9">
        <f t="shared" si="13"/>
        <v>300</v>
      </c>
      <c r="U37" s="9">
        <f t="shared" si="13"/>
        <v>300</v>
      </c>
      <c r="V37" s="9">
        <f t="shared" si="13"/>
        <v>300</v>
      </c>
      <c r="W37" s="9">
        <f t="shared" si="13"/>
        <v>300</v>
      </c>
      <c r="X37" s="9">
        <f t="shared" si="13"/>
        <v>300</v>
      </c>
      <c r="Y37" s="9">
        <f t="shared" si="13"/>
        <v>300</v>
      </c>
      <c r="Z37" s="9">
        <f t="shared" si="13"/>
        <v>300</v>
      </c>
      <c r="AA37" s="9">
        <f t="shared" si="13"/>
        <v>300</v>
      </c>
      <c r="AB37" s="9">
        <f t="shared" si="13"/>
        <v>300</v>
      </c>
      <c r="AC37" s="9">
        <f t="shared" si="13"/>
        <v>300</v>
      </c>
      <c r="AD37" s="10">
        <f t="shared" si="13"/>
        <v>300</v>
      </c>
      <c r="AE37" s="14"/>
      <c r="AF37" s="19">
        <f>SUM(G37:AD37)</f>
        <v>7200</v>
      </c>
      <c r="AG37" s="106">
        <f>COUNT(G37:AD37)</f>
        <v>24</v>
      </c>
      <c r="AH37" s="18">
        <f>AF37/AG37</f>
        <v>300</v>
      </c>
      <c r="AI37"/>
      <c r="AJ37" s="162"/>
      <c r="AL37"/>
      <c r="AM37"/>
      <c r="AN37"/>
      <c r="AO37"/>
      <c r="AP37"/>
      <c r="AQ37"/>
      <c r="AR37"/>
      <c r="AS37"/>
      <c r="AW37" s="22"/>
      <c r="AX37" s="22"/>
    </row>
    <row r="38" spans="1:50" ht="6" customHeight="1" thickBot="1" x14ac:dyDescent="0.25">
      <c r="A38" s="43"/>
      <c r="C38" s="44"/>
      <c r="D38" s="44"/>
      <c r="E38" s="44"/>
      <c r="F38" s="45"/>
      <c r="G38" s="46"/>
      <c r="H38"/>
      <c r="I38"/>
      <c r="J38"/>
      <c r="K38"/>
      <c r="L38"/>
      <c r="M38"/>
      <c r="N38"/>
      <c r="O38"/>
      <c r="P38" s="46"/>
      <c r="Q38" s="46"/>
      <c r="R38" s="46"/>
      <c r="S38" s="46"/>
      <c r="T38" s="46"/>
      <c r="U38" s="46"/>
      <c r="V38" s="46"/>
      <c r="W38" s="46"/>
      <c r="X38" s="46"/>
      <c r="Y38" s="46"/>
      <c r="Z38"/>
      <c r="AA38"/>
      <c r="AB38"/>
      <c r="AC38"/>
      <c r="AD38"/>
      <c r="AE38"/>
      <c r="AF38" s="47"/>
      <c r="AG38" s="48"/>
      <c r="AH38" s="48"/>
      <c r="AI38"/>
      <c r="AJ38"/>
      <c r="AK38"/>
      <c r="AL38"/>
      <c r="AM38"/>
      <c r="AN38"/>
      <c r="AO38"/>
      <c r="AP38"/>
      <c r="AQ38"/>
      <c r="AR38"/>
      <c r="AS38"/>
      <c r="AW38" s="22"/>
      <c r="AX38" s="22"/>
    </row>
    <row r="39" spans="1:50" ht="16" thickBot="1" x14ac:dyDescent="0.25">
      <c r="A39" s="36"/>
      <c r="C39" s="319"/>
      <c r="D39" s="320"/>
      <c r="E39" s="321"/>
      <c r="F39" s="100"/>
      <c r="G39" s="102">
        <f t="shared" ref="G39:AD39" si="14">SUM(G24+G32+G37)</f>
        <v>24094.889475420652</v>
      </c>
      <c r="H39" s="101">
        <f t="shared" si="14"/>
        <v>20400</v>
      </c>
      <c r="I39" s="101">
        <f t="shared" si="14"/>
        <v>22907.142857142859</v>
      </c>
      <c r="J39" s="101">
        <f t="shared" si="14"/>
        <v>22146.428571428572</v>
      </c>
      <c r="K39" s="101">
        <f t="shared" si="14"/>
        <v>12053.571428571429</v>
      </c>
      <c r="L39" s="101">
        <f t="shared" si="14"/>
        <v>12385.714285714286</v>
      </c>
      <c r="M39" s="101">
        <f t="shared" si="14"/>
        <v>7605.0000000000009</v>
      </c>
      <c r="N39" s="101">
        <f t="shared" si="14"/>
        <v>6855.0000000000009</v>
      </c>
      <c r="O39" s="101">
        <f t="shared" si="14"/>
        <v>6225.0000000000009</v>
      </c>
      <c r="P39" s="101">
        <f t="shared" si="14"/>
        <v>6705.0000000000009</v>
      </c>
      <c r="Q39" s="101">
        <f t="shared" si="14"/>
        <v>6375.0000000000009</v>
      </c>
      <c r="R39" s="103">
        <f t="shared" si="14"/>
        <v>11289.494203233258</v>
      </c>
      <c r="S39" s="102">
        <f t="shared" si="14"/>
        <v>2832</v>
      </c>
      <c r="T39" s="101">
        <f t="shared" si="14"/>
        <v>2688</v>
      </c>
      <c r="U39" s="101">
        <f t="shared" si="14"/>
        <v>2832</v>
      </c>
      <c r="V39" s="101">
        <f t="shared" si="14"/>
        <v>2760</v>
      </c>
      <c r="W39" s="101">
        <f t="shared" si="14"/>
        <v>2832</v>
      </c>
      <c r="X39" s="101">
        <f t="shared" si="14"/>
        <v>2760</v>
      </c>
      <c r="Y39" s="101">
        <f t="shared" si="14"/>
        <v>2943.6000000000004</v>
      </c>
      <c r="Z39" s="101">
        <f t="shared" si="14"/>
        <v>2943.6000000000004</v>
      </c>
      <c r="AA39" s="101">
        <f t="shared" si="14"/>
        <v>2868</v>
      </c>
      <c r="AB39" s="101">
        <f t="shared" si="14"/>
        <v>1771.8000000000002</v>
      </c>
      <c r="AC39" s="101">
        <f t="shared" si="14"/>
        <v>1734</v>
      </c>
      <c r="AD39" s="103">
        <f t="shared" si="14"/>
        <v>1771.8000000000002</v>
      </c>
      <c r="AE39" s="104"/>
      <c r="AF39" s="154">
        <f>SUM(G39:AD39)</f>
        <v>189779.04082151107</v>
      </c>
      <c r="AG39" s="105">
        <f>COUNT(G39:AD39)</f>
        <v>24</v>
      </c>
      <c r="AH39" s="154">
        <f>AF39/AG39</f>
        <v>7907.460034229628</v>
      </c>
      <c r="AI39"/>
      <c r="AJ39"/>
      <c r="AK39"/>
      <c r="AL39"/>
      <c r="AM39"/>
      <c r="AN39"/>
      <c r="AO39"/>
      <c r="AP39"/>
      <c r="AQ39"/>
      <c r="AR39"/>
      <c r="AS39"/>
      <c r="AW39" s="22"/>
      <c r="AX39" s="22"/>
    </row>
    <row r="40" spans="1:50" customFormat="1" x14ac:dyDescent="0.2">
      <c r="AF40" s="153">
        <f>SUM(AF24+AF32+AF37)</f>
        <v>189779.04082151107</v>
      </c>
      <c r="AG40" s="22" t="str">
        <f>IF(AF40=AF39,"OK","ERROR")</f>
        <v>OK</v>
      </c>
    </row>
    <row r="41" spans="1:50" customFormat="1" x14ac:dyDescent="0.2">
      <c r="AF41" s="163"/>
    </row>
    <row r="42" spans="1:50" x14ac:dyDescent="0.2">
      <c r="C42"/>
      <c r="D42"/>
      <c r="E42"/>
      <c r="F42"/>
      <c r="G42"/>
      <c r="H42"/>
      <c r="I42"/>
      <c r="AK42"/>
      <c r="AL42"/>
      <c r="AM42"/>
      <c r="AN42"/>
      <c r="AO42"/>
      <c r="AP42"/>
      <c r="AQ42"/>
      <c r="AR42"/>
      <c r="AS42"/>
      <c r="AT42"/>
    </row>
    <row r="43" spans="1:50" ht="16" x14ac:dyDescent="0.2">
      <c r="C43" s="215" t="s">
        <v>26</v>
      </c>
      <c r="D43" s="38"/>
      <c r="E43" s="68" t="s">
        <v>67</v>
      </c>
      <c r="F43" s="164">
        <f>F1</f>
        <v>75</v>
      </c>
      <c r="G43"/>
      <c r="H43"/>
      <c r="I43"/>
    </row>
    <row r="44" spans="1:50" ht="16" x14ac:dyDescent="0.2">
      <c r="C44" s="216" t="s">
        <v>27</v>
      </c>
      <c r="D44" s="25"/>
      <c r="E44" s="68" t="s">
        <v>59</v>
      </c>
      <c r="F44" s="165">
        <f>F2</f>
        <v>37500000</v>
      </c>
      <c r="G44"/>
      <c r="H44"/>
      <c r="I44"/>
    </row>
    <row r="45" spans="1:50" ht="24" x14ac:dyDescent="0.2">
      <c r="C45" s="286" t="s">
        <v>41</v>
      </c>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row>
    <row r="46" spans="1:50" x14ac:dyDescent="0.2">
      <c r="C46" s="322" t="s">
        <v>15</v>
      </c>
      <c r="D46" s="323"/>
      <c r="E46" s="323"/>
      <c r="F46" s="323"/>
      <c r="G46" s="314" t="s">
        <v>17</v>
      </c>
      <c r="H46" s="315"/>
      <c r="I46" s="315"/>
      <c r="J46" s="315"/>
      <c r="K46" s="315"/>
      <c r="L46" s="315"/>
      <c r="M46" s="315"/>
      <c r="N46" s="315"/>
      <c r="O46" s="315"/>
      <c r="P46" s="315"/>
      <c r="Q46" s="315"/>
      <c r="R46" s="316"/>
      <c r="S46" s="126"/>
      <c r="T46" s="126"/>
      <c r="U46" s="126"/>
      <c r="V46" s="126"/>
      <c r="W46" s="126"/>
      <c r="X46" s="126"/>
      <c r="Y46" s="126"/>
      <c r="Z46" s="126"/>
      <c r="AA46" s="127"/>
      <c r="AB46" s="127"/>
      <c r="AC46" s="127"/>
      <c r="AD46" s="127"/>
      <c r="AE46" s="127"/>
      <c r="AF46" s="127"/>
      <c r="AG46" s="127"/>
      <c r="AH46" s="127"/>
      <c r="AI46" s="127"/>
      <c r="AJ46" s="127"/>
      <c r="AK46" s="127"/>
      <c r="AL46" s="127"/>
      <c r="AM46" s="127"/>
      <c r="AN46" s="128"/>
      <c r="AO46" s="128"/>
    </row>
    <row r="47" spans="1:50" x14ac:dyDescent="0.2">
      <c r="C47" s="317" t="s">
        <v>16</v>
      </c>
      <c r="D47" s="318"/>
      <c r="E47" s="318"/>
      <c r="F47" s="318"/>
      <c r="G47" s="305" t="s">
        <v>18</v>
      </c>
      <c r="H47" s="306"/>
      <c r="I47" s="306"/>
      <c r="J47" s="306"/>
      <c r="K47" s="306"/>
      <c r="L47" s="306"/>
      <c r="M47" s="306"/>
      <c r="N47" s="306"/>
      <c r="O47" s="306"/>
      <c r="P47" s="306"/>
      <c r="Q47" s="306"/>
      <c r="R47" s="306"/>
      <c r="S47" s="306"/>
      <c r="T47" s="306"/>
      <c r="U47" s="306"/>
      <c r="V47" s="306"/>
      <c r="W47" s="306"/>
      <c r="X47" s="306"/>
      <c r="Y47" s="306"/>
      <c r="Z47" s="306"/>
      <c r="AA47" s="306"/>
      <c r="AB47" s="306"/>
      <c r="AC47" s="306"/>
      <c r="AD47" s="307"/>
      <c r="AE47" s="107"/>
      <c r="AF47" s="116"/>
      <c r="AG47" s="116"/>
      <c r="AH47" s="116"/>
      <c r="AI47" s="116"/>
      <c r="AJ47" s="116"/>
      <c r="AK47" s="116"/>
      <c r="AL47" s="116"/>
      <c r="AM47" s="116"/>
      <c r="AN47" s="124"/>
      <c r="AO47" s="120"/>
    </row>
    <row r="48" spans="1:50" x14ac:dyDescent="0.2">
      <c r="C48" s="367" t="s">
        <v>45</v>
      </c>
      <c r="D48" s="368"/>
      <c r="E48" s="368"/>
      <c r="F48" s="369"/>
      <c r="G48" s="324" t="s">
        <v>46</v>
      </c>
      <c r="H48" s="325"/>
      <c r="I48" s="325"/>
      <c r="J48" s="325"/>
      <c r="K48" s="326"/>
      <c r="L48" s="116"/>
      <c r="M48" s="116"/>
      <c r="N48" s="116"/>
      <c r="O48" s="116"/>
      <c r="P48" s="116"/>
      <c r="Q48" s="116"/>
      <c r="R48" s="133"/>
      <c r="S48" s="116"/>
      <c r="T48" s="116"/>
      <c r="U48" s="116"/>
      <c r="V48" s="116"/>
      <c r="W48" s="116"/>
      <c r="X48" s="116"/>
      <c r="Y48" s="116"/>
      <c r="Z48" s="116"/>
      <c r="AA48" s="116"/>
      <c r="AB48" s="116"/>
      <c r="AC48" s="116"/>
      <c r="AD48" s="133"/>
      <c r="AE48" s="116"/>
      <c r="AF48" s="116"/>
      <c r="AG48" s="116"/>
      <c r="AH48" s="116"/>
      <c r="AI48" s="116"/>
      <c r="AJ48" s="116"/>
      <c r="AK48" s="116"/>
      <c r="AL48" s="116"/>
      <c r="AM48" s="116"/>
      <c r="AN48" s="124"/>
      <c r="AO48" s="124"/>
    </row>
    <row r="49" spans="1:50" s="110" customFormat="1" x14ac:dyDescent="0.2">
      <c r="A49" s="108"/>
      <c r="B49" s="109"/>
      <c r="C49" s="370"/>
      <c r="D49" s="371"/>
      <c r="E49" s="371"/>
      <c r="F49" s="372"/>
      <c r="G49" s="116"/>
      <c r="H49" s="116"/>
      <c r="I49" s="116"/>
      <c r="J49" s="116"/>
      <c r="K49" s="354" t="s">
        <v>47</v>
      </c>
      <c r="L49" s="355"/>
      <c r="M49" s="376"/>
      <c r="N49" s="376"/>
      <c r="O49" s="377"/>
      <c r="P49" s="116"/>
      <c r="Q49" s="116"/>
      <c r="R49" s="134"/>
      <c r="S49" s="116"/>
      <c r="T49" s="116"/>
      <c r="U49" s="116"/>
      <c r="V49" s="116"/>
      <c r="W49" s="116"/>
      <c r="X49" s="116"/>
      <c r="Y49" s="116"/>
      <c r="Z49" s="116"/>
      <c r="AA49" s="116"/>
      <c r="AB49" s="116"/>
      <c r="AC49" s="116"/>
      <c r="AD49" s="134"/>
      <c r="AE49" s="116"/>
      <c r="AF49" s="116"/>
      <c r="AG49" s="116"/>
      <c r="AH49" s="116"/>
      <c r="AI49" s="116"/>
      <c r="AJ49" s="116"/>
      <c r="AK49" s="116"/>
      <c r="AL49" s="116"/>
      <c r="AM49" s="116"/>
      <c r="AN49" s="124"/>
      <c r="AO49" s="124"/>
      <c r="AS49" s="109"/>
      <c r="AT49" s="109"/>
      <c r="AU49" s="109"/>
      <c r="AV49" s="109"/>
      <c r="AW49" s="109"/>
      <c r="AX49" s="109"/>
    </row>
    <row r="50" spans="1:50" s="110" customFormat="1" x14ac:dyDescent="0.2">
      <c r="A50" s="108"/>
      <c r="B50" s="109"/>
      <c r="C50" s="370"/>
      <c r="D50" s="371"/>
      <c r="E50" s="371"/>
      <c r="F50" s="372"/>
      <c r="G50" s="116"/>
      <c r="H50" s="116"/>
      <c r="I50" s="116"/>
      <c r="J50" s="116"/>
      <c r="K50" s="129"/>
      <c r="L50" s="116"/>
      <c r="M50" s="379" t="s">
        <v>48</v>
      </c>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380"/>
      <c r="AM50" s="380"/>
      <c r="AN50" s="381"/>
      <c r="AO50" s="124"/>
      <c r="AS50" s="109"/>
      <c r="AT50" s="109"/>
      <c r="AU50" s="109"/>
      <c r="AV50" s="109"/>
      <c r="AW50" s="109"/>
      <c r="AX50" s="109"/>
    </row>
    <row r="51" spans="1:50" s="110" customFormat="1" x14ac:dyDescent="0.2">
      <c r="A51" s="108"/>
      <c r="B51" s="109"/>
      <c r="C51" s="370"/>
      <c r="D51" s="371"/>
      <c r="E51" s="371"/>
      <c r="F51" s="372"/>
      <c r="G51" s="116"/>
      <c r="H51" s="116"/>
      <c r="I51" s="116"/>
      <c r="J51" s="116"/>
      <c r="K51" s="130"/>
      <c r="L51" s="116"/>
      <c r="M51" s="130"/>
      <c r="N51" s="116"/>
      <c r="O51" s="116"/>
      <c r="P51" s="130"/>
      <c r="Q51" s="311" t="s">
        <v>50</v>
      </c>
      <c r="R51" s="312"/>
      <c r="S51" s="312"/>
      <c r="T51" s="312"/>
      <c r="U51" s="313"/>
      <c r="V51" s="116"/>
      <c r="W51" s="116"/>
      <c r="X51" s="116"/>
      <c r="Y51" s="116"/>
      <c r="Z51" s="116"/>
      <c r="AA51" s="116"/>
      <c r="AB51" s="116"/>
      <c r="AC51" s="116"/>
      <c r="AD51" s="135"/>
      <c r="AE51" s="116"/>
      <c r="AF51" s="116"/>
      <c r="AG51" s="116"/>
      <c r="AH51" s="116"/>
      <c r="AI51" s="116"/>
      <c r="AJ51" s="116"/>
      <c r="AK51" s="116"/>
      <c r="AL51" s="116"/>
      <c r="AM51" s="116"/>
      <c r="AN51" s="125"/>
      <c r="AO51" s="124"/>
      <c r="AS51" s="109"/>
      <c r="AT51" s="109"/>
      <c r="AU51" s="109"/>
      <c r="AV51" s="109"/>
      <c r="AW51" s="109"/>
      <c r="AX51" s="109"/>
    </row>
    <row r="52" spans="1:50" s="110" customFormat="1" x14ac:dyDescent="0.2">
      <c r="A52" s="108"/>
      <c r="B52" s="109"/>
      <c r="C52" s="370"/>
      <c r="D52" s="371"/>
      <c r="E52" s="371"/>
      <c r="F52" s="372"/>
      <c r="G52" s="116"/>
      <c r="H52" s="116"/>
      <c r="I52" s="116"/>
      <c r="J52" s="116"/>
      <c r="K52" s="130"/>
      <c r="L52" s="116"/>
      <c r="M52" s="130"/>
      <c r="N52" s="116"/>
      <c r="O52" s="116"/>
      <c r="P52" s="130"/>
      <c r="Q52" s="116"/>
      <c r="R52" s="116"/>
      <c r="S52" s="130"/>
      <c r="T52" s="116"/>
      <c r="U52" s="382" t="s">
        <v>51</v>
      </c>
      <c r="V52" s="383"/>
      <c r="W52" s="383"/>
      <c r="X52" s="383"/>
      <c r="Y52" s="383"/>
      <c r="Z52" s="383"/>
      <c r="AA52" s="383"/>
      <c r="AB52" s="383"/>
      <c r="AC52" s="383"/>
      <c r="AD52" s="383"/>
      <c r="AE52" s="383"/>
      <c r="AF52" s="383"/>
      <c r="AG52" s="383"/>
      <c r="AH52" s="383"/>
      <c r="AI52" s="383"/>
      <c r="AJ52" s="383"/>
      <c r="AK52" s="383"/>
      <c r="AL52" s="383"/>
      <c r="AM52" s="383"/>
      <c r="AN52" s="384"/>
      <c r="AO52" s="121"/>
      <c r="AS52" s="109"/>
      <c r="AT52" s="109"/>
      <c r="AU52" s="109"/>
      <c r="AV52" s="109"/>
      <c r="AW52" s="109"/>
      <c r="AX52" s="109"/>
    </row>
    <row r="53" spans="1:50" s="110" customFormat="1" x14ac:dyDescent="0.2">
      <c r="A53" s="108"/>
      <c r="B53" s="109"/>
      <c r="C53" s="370"/>
      <c r="D53" s="371"/>
      <c r="E53" s="371"/>
      <c r="F53" s="372"/>
      <c r="G53" s="116"/>
      <c r="H53" s="116"/>
      <c r="I53" s="116"/>
      <c r="J53" s="116"/>
      <c r="K53" s="130"/>
      <c r="L53" s="116"/>
      <c r="M53" s="130"/>
      <c r="N53" s="116"/>
      <c r="O53" s="116"/>
      <c r="P53" s="130"/>
      <c r="Q53" s="116"/>
      <c r="R53" s="116"/>
      <c r="S53" s="130"/>
      <c r="T53" s="116"/>
      <c r="U53" s="130"/>
      <c r="V53" s="385" t="s">
        <v>52</v>
      </c>
      <c r="W53" s="386"/>
      <c r="X53" s="386"/>
      <c r="Y53" s="387"/>
      <c r="Z53" s="387"/>
      <c r="AA53" s="387"/>
      <c r="AB53" s="387"/>
      <c r="AC53" s="388"/>
      <c r="AD53" s="134"/>
      <c r="AE53" s="116"/>
      <c r="AF53" s="116"/>
      <c r="AG53" s="116"/>
      <c r="AH53" s="116"/>
      <c r="AI53" s="116"/>
      <c r="AJ53" s="116"/>
      <c r="AK53" s="116"/>
      <c r="AL53" s="116"/>
      <c r="AM53" s="116"/>
      <c r="AN53" s="134"/>
      <c r="AO53" s="124"/>
      <c r="AS53" s="109"/>
      <c r="AT53" s="109"/>
      <c r="AU53" s="109"/>
      <c r="AV53" s="109"/>
      <c r="AW53" s="109"/>
      <c r="AX53" s="109"/>
    </row>
    <row r="54" spans="1:50" s="110" customFormat="1" x14ac:dyDescent="0.2">
      <c r="A54" s="108"/>
      <c r="B54" s="109"/>
      <c r="C54" s="370"/>
      <c r="D54" s="371"/>
      <c r="E54" s="371"/>
      <c r="F54" s="372"/>
      <c r="G54" s="116"/>
      <c r="H54" s="116"/>
      <c r="I54" s="116"/>
      <c r="J54" s="116"/>
      <c r="K54" s="130"/>
      <c r="L54" s="116"/>
      <c r="M54" s="130"/>
      <c r="N54" s="116"/>
      <c r="O54" s="116"/>
      <c r="P54" s="130"/>
      <c r="Q54" s="116"/>
      <c r="R54" s="116"/>
      <c r="S54" s="130"/>
      <c r="T54" s="116"/>
      <c r="U54" s="130"/>
      <c r="V54" s="130"/>
      <c r="W54" s="116"/>
      <c r="X54" s="116"/>
      <c r="Y54" s="360" t="s">
        <v>53</v>
      </c>
      <c r="Z54" s="361"/>
      <c r="AA54" s="361"/>
      <c r="AB54" s="361"/>
      <c r="AC54" s="361"/>
      <c r="AD54" s="361"/>
      <c r="AE54" s="361"/>
      <c r="AF54" s="361"/>
      <c r="AG54" s="361"/>
      <c r="AH54" s="361"/>
      <c r="AI54" s="361"/>
      <c r="AJ54" s="361"/>
      <c r="AK54" s="361"/>
      <c r="AL54" s="361"/>
      <c r="AM54" s="362"/>
      <c r="AN54" s="134"/>
      <c r="AO54" s="124"/>
      <c r="AS54" s="109"/>
      <c r="AT54" s="109"/>
      <c r="AU54" s="109"/>
      <c r="AV54" s="109"/>
      <c r="AW54" s="109"/>
      <c r="AX54" s="109"/>
    </row>
    <row r="55" spans="1:50" s="110" customFormat="1" x14ac:dyDescent="0.2">
      <c r="A55" s="108"/>
      <c r="B55" s="109"/>
      <c r="C55" s="370"/>
      <c r="D55" s="371"/>
      <c r="E55" s="371"/>
      <c r="F55" s="372"/>
      <c r="G55" s="116"/>
      <c r="H55" s="116"/>
      <c r="I55" s="116"/>
      <c r="J55" s="116"/>
      <c r="K55" s="130"/>
      <c r="L55" s="116"/>
      <c r="M55" s="130"/>
      <c r="N55" s="116"/>
      <c r="O55" s="116"/>
      <c r="P55" s="130"/>
      <c r="Q55" s="116"/>
      <c r="R55" s="116"/>
      <c r="S55" s="130"/>
      <c r="T55" s="116"/>
      <c r="U55" s="130"/>
      <c r="V55" s="130"/>
      <c r="W55" s="116"/>
      <c r="X55" s="116"/>
      <c r="Y55" s="130"/>
      <c r="Z55" s="116"/>
      <c r="AA55" s="116"/>
      <c r="AB55" s="116"/>
      <c r="AC55" s="116"/>
      <c r="AD55" s="134"/>
      <c r="AE55" s="116"/>
      <c r="AF55" s="116"/>
      <c r="AG55" s="116"/>
      <c r="AH55" s="116"/>
      <c r="AI55" s="116"/>
      <c r="AJ55" s="116"/>
      <c r="AK55" s="116"/>
      <c r="AL55" s="116"/>
      <c r="AM55" s="365" t="s">
        <v>54</v>
      </c>
      <c r="AN55" s="366"/>
      <c r="AO55" s="125"/>
      <c r="AS55" s="109"/>
      <c r="AT55" s="109"/>
      <c r="AU55" s="109"/>
      <c r="AV55" s="109"/>
      <c r="AW55" s="109"/>
      <c r="AX55" s="109"/>
    </row>
    <row r="56" spans="1:50" s="110" customFormat="1" ht="16" thickBot="1" x14ac:dyDescent="0.25">
      <c r="A56" s="108"/>
      <c r="B56" s="109"/>
      <c r="C56" s="373"/>
      <c r="D56" s="374"/>
      <c r="E56" s="374"/>
      <c r="F56" s="375"/>
      <c r="G56" s="122"/>
      <c r="H56" s="122"/>
      <c r="I56" s="122"/>
      <c r="J56" s="122"/>
      <c r="K56" s="131"/>
      <c r="L56" s="122"/>
      <c r="M56" s="130"/>
      <c r="N56" s="122"/>
      <c r="O56" s="122"/>
      <c r="P56" s="130"/>
      <c r="Q56" s="122"/>
      <c r="R56" s="122"/>
      <c r="S56" s="130"/>
      <c r="T56" s="122"/>
      <c r="U56" s="130"/>
      <c r="V56" s="130"/>
      <c r="W56" s="122"/>
      <c r="X56" s="122"/>
      <c r="Y56" s="130"/>
      <c r="Z56" s="122"/>
      <c r="AA56" s="122"/>
      <c r="AB56" s="122"/>
      <c r="AC56" s="122"/>
      <c r="AD56" s="134"/>
      <c r="AE56" s="116"/>
      <c r="AF56" s="122"/>
      <c r="AG56" s="122"/>
      <c r="AH56" s="122"/>
      <c r="AI56" s="122"/>
      <c r="AJ56" s="122"/>
      <c r="AK56" s="122"/>
      <c r="AL56" s="363" t="s">
        <v>49</v>
      </c>
      <c r="AM56" s="363"/>
      <c r="AN56" s="364"/>
      <c r="AO56" s="125"/>
      <c r="AS56" s="109"/>
      <c r="AT56" s="109"/>
      <c r="AU56" s="109"/>
      <c r="AV56" s="109"/>
      <c r="AW56" s="109"/>
      <c r="AX56" s="109"/>
    </row>
    <row r="57" spans="1:50" ht="31" thickBot="1" x14ac:dyDescent="0.25">
      <c r="A57" s="200" t="s">
        <v>82</v>
      </c>
      <c r="C57" s="117" t="s">
        <v>0</v>
      </c>
      <c r="D57" s="118"/>
      <c r="E57" s="118" t="s">
        <v>1</v>
      </c>
      <c r="F57" s="119"/>
      <c r="G57" s="69">
        <v>44927</v>
      </c>
      <c r="H57" s="69">
        <v>44958</v>
      </c>
      <c r="I57" s="69">
        <v>44986</v>
      </c>
      <c r="J57" s="69">
        <v>45017</v>
      </c>
      <c r="K57" s="69">
        <v>45047</v>
      </c>
      <c r="L57" s="69">
        <v>45078</v>
      </c>
      <c r="M57" s="69">
        <v>45108</v>
      </c>
      <c r="N57" s="69">
        <v>45139</v>
      </c>
      <c r="O57" s="69">
        <v>45170</v>
      </c>
      <c r="P57" s="69">
        <v>45200</v>
      </c>
      <c r="Q57" s="69">
        <v>45231</v>
      </c>
      <c r="R57" s="69">
        <v>45261</v>
      </c>
      <c r="S57" s="70">
        <v>45292</v>
      </c>
      <c r="T57" s="70">
        <v>45323</v>
      </c>
      <c r="U57" s="70">
        <v>45352</v>
      </c>
      <c r="V57" s="70">
        <v>45383</v>
      </c>
      <c r="W57" s="70">
        <v>45413</v>
      </c>
      <c r="X57" s="70">
        <v>45444</v>
      </c>
      <c r="Y57" s="70">
        <v>45474</v>
      </c>
      <c r="Z57" s="70">
        <v>45505</v>
      </c>
      <c r="AA57" s="70">
        <v>45536</v>
      </c>
      <c r="AB57" s="70">
        <v>45566</v>
      </c>
      <c r="AC57" s="70">
        <v>45597</v>
      </c>
      <c r="AD57" s="70">
        <v>45627</v>
      </c>
      <c r="AE57" s="70"/>
      <c r="AF57" s="70">
        <v>45658</v>
      </c>
      <c r="AG57" s="70">
        <v>45689</v>
      </c>
      <c r="AH57" s="70">
        <v>45717</v>
      </c>
      <c r="AI57" s="70">
        <v>45748</v>
      </c>
      <c r="AJ57" s="70">
        <v>45778</v>
      </c>
      <c r="AK57" s="70">
        <v>45809</v>
      </c>
      <c r="AL57" s="70">
        <v>45839</v>
      </c>
      <c r="AM57" s="70">
        <v>45870</v>
      </c>
      <c r="AN57" s="70">
        <v>45901</v>
      </c>
      <c r="AO57" s="70">
        <v>45931</v>
      </c>
      <c r="AP57" s="16" t="s">
        <v>2</v>
      </c>
      <c r="AQ57" s="17" t="s">
        <v>6</v>
      </c>
      <c r="AR57" s="17" t="s">
        <v>7</v>
      </c>
    </row>
    <row r="58" spans="1:50" s="28" customFormat="1" x14ac:dyDescent="0.2">
      <c r="A58" s="33" t="s">
        <v>32</v>
      </c>
      <c r="B58" s="23"/>
      <c r="C58" s="330" t="s">
        <v>3</v>
      </c>
      <c r="D58" s="331"/>
      <c r="E58" s="331"/>
      <c r="F58" s="331"/>
      <c r="G58" s="334">
        <v>2023</v>
      </c>
      <c r="H58" s="335"/>
      <c r="I58" s="335"/>
      <c r="J58" s="335"/>
      <c r="K58" s="335"/>
      <c r="L58" s="335"/>
      <c r="M58" s="335"/>
      <c r="N58" s="335"/>
      <c r="O58" s="335"/>
      <c r="P58" s="335"/>
      <c r="Q58" s="335"/>
      <c r="R58" s="336"/>
      <c r="S58" s="308">
        <v>2024</v>
      </c>
      <c r="T58" s="309"/>
      <c r="U58" s="309"/>
      <c r="V58" s="309"/>
      <c r="W58" s="309"/>
      <c r="X58" s="309"/>
      <c r="Y58" s="309"/>
      <c r="Z58" s="309"/>
      <c r="AA58" s="309"/>
      <c r="AB58" s="309"/>
      <c r="AC58" s="309"/>
      <c r="AD58" s="310"/>
      <c r="AE58" s="148"/>
      <c r="AF58" s="308">
        <v>2025</v>
      </c>
      <c r="AG58" s="309"/>
      <c r="AH58" s="309"/>
      <c r="AI58" s="309"/>
      <c r="AJ58" s="309"/>
      <c r="AK58" s="309"/>
      <c r="AL58" s="309"/>
      <c r="AM58" s="309"/>
      <c r="AN58" s="309"/>
      <c r="AO58" s="310"/>
      <c r="AP58" s="27"/>
      <c r="AQ58" s="27"/>
      <c r="AR58" s="27"/>
      <c r="AS58" s="23"/>
      <c r="AT58" s="23"/>
      <c r="AU58" s="23"/>
      <c r="AV58" s="23"/>
      <c r="AW58" s="23"/>
      <c r="AX58" s="23"/>
    </row>
    <row r="59" spans="1:50" s="28" customFormat="1" x14ac:dyDescent="0.2">
      <c r="A59" s="34"/>
      <c r="B59" s="23"/>
      <c r="C59" s="332" t="s">
        <v>4</v>
      </c>
      <c r="D59" s="333"/>
      <c r="E59" s="333"/>
      <c r="F59" s="333"/>
      <c r="G59" s="1">
        <f>(H57-G57)/7</f>
        <v>4.4285714285714288</v>
      </c>
      <c r="H59" s="2">
        <f t="shared" ref="H59:AC59" si="15">(I57-H57)/7</f>
        <v>4</v>
      </c>
      <c r="I59" s="2">
        <f t="shared" si="15"/>
        <v>4.4285714285714288</v>
      </c>
      <c r="J59" s="2">
        <f t="shared" si="15"/>
        <v>4.2857142857142856</v>
      </c>
      <c r="K59" s="2">
        <f t="shared" si="15"/>
        <v>4.4285714285714288</v>
      </c>
      <c r="L59" s="2">
        <f t="shared" si="15"/>
        <v>4.2857142857142856</v>
      </c>
      <c r="M59" s="2">
        <f t="shared" si="15"/>
        <v>4.4285714285714288</v>
      </c>
      <c r="N59" s="2">
        <f t="shared" si="15"/>
        <v>4.4285714285714288</v>
      </c>
      <c r="O59" s="2">
        <f t="shared" si="15"/>
        <v>4.2857142857142856</v>
      </c>
      <c r="P59" s="2">
        <f t="shared" si="15"/>
        <v>4.4285714285714288</v>
      </c>
      <c r="Q59" s="2">
        <f t="shared" si="15"/>
        <v>4.2857142857142856</v>
      </c>
      <c r="R59" s="3">
        <f t="shared" si="15"/>
        <v>4.4285714285714288</v>
      </c>
      <c r="S59" s="1">
        <f t="shared" si="15"/>
        <v>4.4285714285714288</v>
      </c>
      <c r="T59" s="2">
        <f t="shared" si="15"/>
        <v>4.1428571428571432</v>
      </c>
      <c r="U59" s="2">
        <f t="shared" si="15"/>
        <v>4.4285714285714288</v>
      </c>
      <c r="V59" s="2">
        <f t="shared" si="15"/>
        <v>4.2857142857142856</v>
      </c>
      <c r="W59" s="2">
        <f t="shared" si="15"/>
        <v>4.4285714285714288</v>
      </c>
      <c r="X59" s="2">
        <f t="shared" si="15"/>
        <v>4.2857142857142856</v>
      </c>
      <c r="Y59" s="2">
        <f t="shared" si="15"/>
        <v>4.4285714285714288</v>
      </c>
      <c r="Z59" s="2">
        <f t="shared" si="15"/>
        <v>4.4285714285714288</v>
      </c>
      <c r="AA59" s="2">
        <f t="shared" si="15"/>
        <v>4.2857142857142856</v>
      </c>
      <c r="AB59" s="2">
        <f t="shared" si="15"/>
        <v>4.4285714285714288</v>
      </c>
      <c r="AC59" s="2">
        <f t="shared" si="15"/>
        <v>4.2857142857142856</v>
      </c>
      <c r="AD59" s="3">
        <f>(AF57-AD57)/7</f>
        <v>4.4285714285714288</v>
      </c>
      <c r="AE59" s="149"/>
      <c r="AF59" s="2">
        <f t="shared" ref="AF59:AN59" si="16">(AG57-AF57)/7</f>
        <v>4.4285714285714288</v>
      </c>
      <c r="AG59" s="2">
        <f t="shared" si="16"/>
        <v>4</v>
      </c>
      <c r="AH59" s="2">
        <f t="shared" si="16"/>
        <v>4.4285714285714288</v>
      </c>
      <c r="AI59" s="2">
        <f t="shared" si="16"/>
        <v>4.2857142857142856</v>
      </c>
      <c r="AJ59" s="2">
        <f t="shared" si="16"/>
        <v>4.4285714285714288</v>
      </c>
      <c r="AK59" s="2">
        <f t="shared" si="16"/>
        <v>4.2857142857142856</v>
      </c>
      <c r="AL59" s="2">
        <f t="shared" si="16"/>
        <v>4.4285714285714288</v>
      </c>
      <c r="AM59" s="2">
        <f t="shared" si="16"/>
        <v>4.4285714285714288</v>
      </c>
      <c r="AN59" s="2">
        <f t="shared" si="16"/>
        <v>4.2857142857142856</v>
      </c>
      <c r="AO59" s="3"/>
      <c r="AP59" s="4"/>
      <c r="AQ59" s="4"/>
      <c r="AR59" s="4"/>
      <c r="AS59" s="23"/>
      <c r="AT59" s="23"/>
      <c r="AU59" s="23"/>
      <c r="AV59" s="23"/>
      <c r="AW59" s="23"/>
      <c r="AX59" s="23"/>
    </row>
    <row r="60" spans="1:50" s="28" customFormat="1" x14ac:dyDescent="0.2">
      <c r="A60" s="34"/>
      <c r="B60" s="23"/>
      <c r="C60" s="332" t="s">
        <v>5</v>
      </c>
      <c r="D60" s="333"/>
      <c r="E60" s="333"/>
      <c r="F60" s="333"/>
      <c r="G60" s="1">
        <v>1</v>
      </c>
      <c r="H60" s="2">
        <f t="shared" ref="H60:L60" si="17">G60</f>
        <v>1</v>
      </c>
      <c r="I60" s="2">
        <f t="shared" si="17"/>
        <v>1</v>
      </c>
      <c r="J60" s="2">
        <f t="shared" si="17"/>
        <v>1</v>
      </c>
      <c r="K60" s="2">
        <f t="shared" si="17"/>
        <v>1</v>
      </c>
      <c r="L60" s="2">
        <f t="shared" si="17"/>
        <v>1</v>
      </c>
      <c r="M60" s="2">
        <v>1.05</v>
      </c>
      <c r="N60" s="2">
        <f t="shared" ref="N60:X60" si="18">M60</f>
        <v>1.05</v>
      </c>
      <c r="O60" s="2">
        <f t="shared" si="18"/>
        <v>1.05</v>
      </c>
      <c r="P60" s="2">
        <f t="shared" si="18"/>
        <v>1.05</v>
      </c>
      <c r="Q60" s="2">
        <f t="shared" si="18"/>
        <v>1.05</v>
      </c>
      <c r="R60" s="3">
        <f t="shared" si="18"/>
        <v>1.05</v>
      </c>
      <c r="S60" s="1">
        <f t="shared" si="18"/>
        <v>1.05</v>
      </c>
      <c r="T60" s="2">
        <f t="shared" si="18"/>
        <v>1.05</v>
      </c>
      <c r="U60" s="2">
        <f t="shared" si="18"/>
        <v>1.05</v>
      </c>
      <c r="V60" s="2">
        <f t="shared" si="18"/>
        <v>1.05</v>
      </c>
      <c r="W60" s="2">
        <f t="shared" si="18"/>
        <v>1.05</v>
      </c>
      <c r="X60" s="2">
        <f t="shared" si="18"/>
        <v>1.05</v>
      </c>
      <c r="Y60" s="2">
        <f>X60*1.05</f>
        <v>1.1025</v>
      </c>
      <c r="Z60" s="2">
        <f t="shared" ref="Z60" si="19">Y60</f>
        <v>1.1025</v>
      </c>
      <c r="AA60" s="2">
        <f>Z60</f>
        <v>1.1025</v>
      </c>
      <c r="AB60" s="2">
        <f>AA60</f>
        <v>1.1025</v>
      </c>
      <c r="AC60" s="2">
        <f>AB60</f>
        <v>1.1025</v>
      </c>
      <c r="AD60" s="3">
        <f>AC60</f>
        <v>1.1025</v>
      </c>
      <c r="AE60" s="149"/>
      <c r="AF60" s="2">
        <f>AD60</f>
        <v>1.1025</v>
      </c>
      <c r="AG60" s="2">
        <f t="shared" ref="AG60:AN60" si="20">AF60</f>
        <v>1.1025</v>
      </c>
      <c r="AH60" s="2">
        <f t="shared" si="20"/>
        <v>1.1025</v>
      </c>
      <c r="AI60" s="2">
        <f t="shared" si="20"/>
        <v>1.1025</v>
      </c>
      <c r="AJ60" s="2">
        <f t="shared" si="20"/>
        <v>1.1025</v>
      </c>
      <c r="AK60" s="2">
        <f t="shared" si="20"/>
        <v>1.1025</v>
      </c>
      <c r="AL60" s="2">
        <f t="shared" si="20"/>
        <v>1.1025</v>
      </c>
      <c r="AM60" s="2">
        <f t="shared" si="20"/>
        <v>1.1025</v>
      </c>
      <c r="AN60" s="2">
        <f t="shared" si="20"/>
        <v>1.1025</v>
      </c>
      <c r="AO60" s="3"/>
      <c r="AP60" s="4"/>
      <c r="AQ60" s="4"/>
      <c r="AR60" s="4"/>
      <c r="AS60" s="23"/>
      <c r="AT60" s="23"/>
      <c r="AU60" s="23"/>
      <c r="AV60" s="23"/>
      <c r="AW60" s="23"/>
      <c r="AX60" s="23"/>
    </row>
    <row r="61" spans="1:50" x14ac:dyDescent="0.2">
      <c r="A61" s="34"/>
      <c r="C61" s="29" t="s">
        <v>37</v>
      </c>
      <c r="D61" s="21"/>
      <c r="E61" s="61" t="s">
        <v>81</v>
      </c>
      <c r="F61" s="12"/>
      <c r="G61" s="5"/>
      <c r="H61" s="6"/>
      <c r="I61" s="6"/>
      <c r="J61" s="6"/>
      <c r="K61" s="6"/>
      <c r="L61" s="6"/>
      <c r="M61" s="6"/>
      <c r="N61" s="6"/>
      <c r="O61" s="6"/>
      <c r="P61" s="6"/>
      <c r="Q61" s="6"/>
      <c r="R61" s="15"/>
      <c r="S61" s="5"/>
      <c r="T61" s="6"/>
      <c r="U61" s="6"/>
      <c r="V61" s="6"/>
      <c r="W61" s="6"/>
      <c r="X61" s="6"/>
      <c r="Y61" s="6"/>
      <c r="Z61" s="6"/>
      <c r="AA61" s="6"/>
      <c r="AB61" s="6"/>
      <c r="AC61" s="6"/>
      <c r="AD61" s="7"/>
      <c r="AE61" s="15"/>
      <c r="AF61" s="6"/>
      <c r="AG61" s="6"/>
      <c r="AH61" s="6"/>
      <c r="AI61" s="6"/>
      <c r="AJ61" s="6"/>
      <c r="AK61" s="6"/>
      <c r="AL61" s="6"/>
      <c r="AM61" s="6"/>
      <c r="AN61" s="6"/>
      <c r="AO61" s="13"/>
      <c r="AP61" s="8"/>
      <c r="AQ61" s="8"/>
      <c r="AR61" s="8"/>
    </row>
    <row r="62" spans="1:50" x14ac:dyDescent="0.2">
      <c r="A62" s="35">
        <v>10876.281755196305</v>
      </c>
      <c r="C62" s="53"/>
      <c r="D62" s="58" t="s">
        <v>14</v>
      </c>
      <c r="E62" s="71">
        <f t="shared" ref="E62:E67" si="21">A62*0.7</f>
        <v>7613.3972286374128</v>
      </c>
      <c r="F62" s="54"/>
      <c r="G62" s="63"/>
      <c r="H62" s="41"/>
      <c r="I62" s="41"/>
      <c r="J62" s="41"/>
      <c r="K62" s="41"/>
      <c r="L62" s="41"/>
      <c r="M62" s="41">
        <v>0.1</v>
      </c>
      <c r="N62" s="41">
        <v>0.1</v>
      </c>
      <c r="O62" s="41">
        <v>0.25</v>
      </c>
      <c r="P62" s="41">
        <v>0.25</v>
      </c>
      <c r="Q62" s="41">
        <v>0.1</v>
      </c>
      <c r="R62" s="75">
        <v>0.1</v>
      </c>
      <c r="S62" s="63">
        <v>0.1</v>
      </c>
      <c r="T62" s="41">
        <v>0.1</v>
      </c>
      <c r="U62" s="41">
        <v>0.1</v>
      </c>
      <c r="V62" s="41">
        <v>0.1</v>
      </c>
      <c r="W62" s="41">
        <v>0.1</v>
      </c>
      <c r="X62" s="41">
        <v>0.1</v>
      </c>
      <c r="Y62" s="41">
        <v>0.1</v>
      </c>
      <c r="Z62" s="41">
        <v>0.1</v>
      </c>
      <c r="AA62" s="41">
        <v>0.1</v>
      </c>
      <c r="AB62" s="41">
        <v>0.1</v>
      </c>
      <c r="AC62" s="41">
        <v>0.1</v>
      </c>
      <c r="AD62" s="76">
        <v>0.1</v>
      </c>
      <c r="AE62" s="150"/>
      <c r="AF62" s="41">
        <v>0.1</v>
      </c>
      <c r="AG62" s="41">
        <v>0.1</v>
      </c>
      <c r="AH62" s="41">
        <v>0.1</v>
      </c>
      <c r="AI62" s="41">
        <v>0.1</v>
      </c>
      <c r="AJ62" s="41">
        <v>0.1</v>
      </c>
      <c r="AK62" s="41">
        <v>0.1</v>
      </c>
      <c r="AL62" s="41">
        <v>0.2</v>
      </c>
      <c r="AM62" s="41">
        <v>0.25</v>
      </c>
      <c r="AN62" s="41">
        <v>0.1</v>
      </c>
      <c r="AO62" s="52"/>
      <c r="AP62" s="30">
        <f>SUMPRODUCT(G62:AO62,$G$59:$AO$59,$G$60:$AO$60)*(E62)</f>
        <v>116339.37137615477</v>
      </c>
      <c r="AQ62" s="57">
        <f>COUNT(G62:AN62)</f>
        <v>27</v>
      </c>
      <c r="AR62" s="30">
        <f>AP62/AQ62</f>
        <v>4308.8656065242503</v>
      </c>
    </row>
    <row r="63" spans="1:50" x14ac:dyDescent="0.2">
      <c r="A63" s="35">
        <v>9887.5288683602776</v>
      </c>
      <c r="C63" s="53"/>
      <c r="D63" s="58" t="s">
        <v>12</v>
      </c>
      <c r="E63" s="71">
        <f t="shared" si="21"/>
        <v>6921.2702078521943</v>
      </c>
      <c r="F63" s="54"/>
      <c r="G63" s="63"/>
      <c r="H63" s="41"/>
      <c r="I63" s="41"/>
      <c r="J63" s="41"/>
      <c r="K63" s="41">
        <v>0.1</v>
      </c>
      <c r="L63" s="41">
        <v>0.1</v>
      </c>
      <c r="M63" s="41">
        <v>0.25</v>
      </c>
      <c r="N63" s="41">
        <v>0.25</v>
      </c>
      <c r="O63" s="41">
        <v>0.25</v>
      </c>
      <c r="P63" s="41">
        <v>0.1</v>
      </c>
      <c r="Q63" s="41">
        <v>0.1</v>
      </c>
      <c r="R63" s="76">
        <v>0.1</v>
      </c>
      <c r="S63" s="63">
        <v>0.1</v>
      </c>
      <c r="T63" s="41">
        <v>0.1</v>
      </c>
      <c r="U63" s="41">
        <v>0.1</v>
      </c>
      <c r="V63" s="41">
        <v>0.05</v>
      </c>
      <c r="W63" s="41">
        <v>0.05</v>
      </c>
      <c r="X63" s="41">
        <v>0.05</v>
      </c>
      <c r="Y63" s="41">
        <v>0.05</v>
      </c>
      <c r="Z63" s="41">
        <v>0.05</v>
      </c>
      <c r="AA63" s="41">
        <v>0.05</v>
      </c>
      <c r="AB63" s="41">
        <v>0.05</v>
      </c>
      <c r="AC63" s="41">
        <v>0.05</v>
      </c>
      <c r="AD63" s="76">
        <v>0.05</v>
      </c>
      <c r="AE63" s="150"/>
      <c r="AF63" s="41">
        <v>0.05</v>
      </c>
      <c r="AG63" s="41">
        <v>0.05</v>
      </c>
      <c r="AH63" s="41">
        <v>0.05</v>
      </c>
      <c r="AI63" s="41">
        <v>0.05</v>
      </c>
      <c r="AJ63" s="41">
        <v>0.05</v>
      </c>
      <c r="AK63" s="41">
        <v>0.05</v>
      </c>
      <c r="AL63" s="41">
        <v>0.05</v>
      </c>
      <c r="AM63" s="41">
        <v>0.05</v>
      </c>
      <c r="AN63" s="41">
        <v>0.05</v>
      </c>
      <c r="AO63" s="52"/>
      <c r="AP63" s="30">
        <f t="shared" ref="AP63:AP67" si="22">SUMPRODUCT(G63:AO63,$G$59:$AO$59,$G$60:$AO$60)*(E63)</f>
        <v>78541.214783487318</v>
      </c>
      <c r="AQ63" s="57">
        <f t="shared" ref="AQ63:AQ67" si="23">COUNT(G63:AN63)</f>
        <v>29</v>
      </c>
      <c r="AR63" s="30">
        <f t="shared" ref="AR63:AR67" si="24">AP63/AQ63</f>
        <v>2708.3177511547351</v>
      </c>
    </row>
    <row r="64" spans="1:50" x14ac:dyDescent="0.2">
      <c r="A64" s="35">
        <v>5391.6859122401847</v>
      </c>
      <c r="C64" s="53"/>
      <c r="D64" s="58" t="s">
        <v>8</v>
      </c>
      <c r="E64" s="71">
        <f t="shared" si="21"/>
        <v>3774.1801385681292</v>
      </c>
      <c r="F64" s="54"/>
      <c r="G64" s="63">
        <v>0.5</v>
      </c>
      <c r="H64" s="41">
        <v>0.5</v>
      </c>
      <c r="I64" s="41">
        <v>0.25</v>
      </c>
      <c r="J64" s="41">
        <v>0.1</v>
      </c>
      <c r="K64" s="41">
        <v>0.1</v>
      </c>
      <c r="L64" s="41"/>
      <c r="M64" s="41"/>
      <c r="N64" s="41"/>
      <c r="O64" s="41"/>
      <c r="P64" s="41"/>
      <c r="Q64" s="41"/>
      <c r="R64" s="76"/>
      <c r="S64" s="63"/>
      <c r="T64" s="41"/>
      <c r="U64" s="41"/>
      <c r="V64" s="41"/>
      <c r="W64" s="41"/>
      <c r="X64" s="41"/>
      <c r="Y64" s="41"/>
      <c r="Z64" s="41"/>
      <c r="AA64" s="41"/>
      <c r="AB64" s="41"/>
      <c r="AC64" s="41"/>
      <c r="AD64" s="76"/>
      <c r="AE64" s="150"/>
      <c r="AF64" s="41"/>
      <c r="AG64" s="41"/>
      <c r="AH64" s="41"/>
      <c r="AI64" s="41"/>
      <c r="AJ64" s="41"/>
      <c r="AK64" s="41"/>
      <c r="AL64" s="41"/>
      <c r="AM64" s="41"/>
      <c r="AN64" s="41"/>
      <c r="AO64" s="52"/>
      <c r="AP64" s="30">
        <f t="shared" si="22"/>
        <v>23372.9584295612</v>
      </c>
      <c r="AQ64" s="57">
        <f>COUNT(G64:AN64)</f>
        <v>5</v>
      </c>
      <c r="AR64" s="30">
        <f t="shared" si="24"/>
        <v>4674.5916859122399</v>
      </c>
    </row>
    <row r="65" spans="1:45" x14ac:dyDescent="0.2">
      <c r="A65" s="35">
        <v>3802.7713625866049</v>
      </c>
      <c r="C65" s="53"/>
      <c r="D65" s="58" t="s">
        <v>89</v>
      </c>
      <c r="E65" s="71">
        <f t="shared" si="21"/>
        <v>2661.9399538106231</v>
      </c>
      <c r="F65" s="54"/>
      <c r="G65" s="63">
        <v>1</v>
      </c>
      <c r="H65" s="41">
        <v>1</v>
      </c>
      <c r="I65" s="41">
        <v>0.5</v>
      </c>
      <c r="J65" s="41">
        <v>0.25</v>
      </c>
      <c r="K65" s="41">
        <v>0.1</v>
      </c>
      <c r="L65" s="41">
        <v>0.1</v>
      </c>
      <c r="M65" s="41">
        <v>0.05</v>
      </c>
      <c r="N65" s="41">
        <v>0.05</v>
      </c>
      <c r="O65" s="41"/>
      <c r="P65" s="41"/>
      <c r="Q65" s="41"/>
      <c r="R65" s="76"/>
      <c r="S65" s="63"/>
      <c r="T65" s="41"/>
      <c r="U65" s="41"/>
      <c r="V65" s="41"/>
      <c r="W65" s="41"/>
      <c r="X65" s="41"/>
      <c r="Y65" s="41"/>
      <c r="Z65" s="41"/>
      <c r="AA65" s="41"/>
      <c r="AB65" s="41"/>
      <c r="AC65" s="41"/>
      <c r="AD65" s="76"/>
      <c r="AE65" s="150"/>
      <c r="AF65" s="41"/>
      <c r="AG65" s="41"/>
      <c r="AH65" s="41"/>
      <c r="AI65" s="41"/>
      <c r="AJ65" s="41"/>
      <c r="AK65" s="41"/>
      <c r="AL65" s="41"/>
      <c r="AM65" s="41"/>
      <c r="AN65" s="41"/>
      <c r="AO65" s="52"/>
      <c r="AP65" s="30">
        <f t="shared" si="22"/>
        <v>34740.217782909924</v>
      </c>
      <c r="AQ65" s="57">
        <f t="shared" si="23"/>
        <v>8</v>
      </c>
      <c r="AR65" s="30">
        <f t="shared" si="24"/>
        <v>4342.5272228637405</v>
      </c>
    </row>
    <row r="66" spans="1:45" x14ac:dyDescent="0.2">
      <c r="A66" s="35">
        <v>5057.7367205542723</v>
      </c>
      <c r="C66" s="53"/>
      <c r="D66" s="58" t="s">
        <v>29</v>
      </c>
      <c r="E66" s="71">
        <f t="shared" si="21"/>
        <v>3540.4157043879904</v>
      </c>
      <c r="F66" s="54"/>
      <c r="G66" s="63">
        <v>1</v>
      </c>
      <c r="H66" s="41">
        <v>1</v>
      </c>
      <c r="I66" s="41">
        <v>0.5</v>
      </c>
      <c r="J66" s="41">
        <v>0.25</v>
      </c>
      <c r="K66" s="41">
        <v>0.1</v>
      </c>
      <c r="L66" s="41"/>
      <c r="M66" s="41"/>
      <c r="N66" s="41"/>
      <c r="O66" s="41"/>
      <c r="P66" s="41"/>
      <c r="Q66" s="41"/>
      <c r="R66" s="76"/>
      <c r="S66" s="63"/>
      <c r="T66" s="41"/>
      <c r="U66" s="41"/>
      <c r="V66" s="41"/>
      <c r="W66" s="41"/>
      <c r="X66" s="41"/>
      <c r="Y66" s="41"/>
      <c r="Z66" s="41"/>
      <c r="AA66" s="41"/>
      <c r="AB66" s="41"/>
      <c r="AC66" s="41"/>
      <c r="AD66" s="76"/>
      <c r="AE66" s="150"/>
      <c r="AF66" s="41"/>
      <c r="AG66" s="41"/>
      <c r="AH66" s="41"/>
      <c r="AI66" s="41"/>
      <c r="AJ66" s="41"/>
      <c r="AK66" s="41"/>
      <c r="AL66" s="41"/>
      <c r="AM66" s="41"/>
      <c r="AN66" s="41"/>
      <c r="AO66" s="52"/>
      <c r="AP66" s="30">
        <f t="shared" si="22"/>
        <v>43041.339491916857</v>
      </c>
      <c r="AQ66" s="57">
        <f t="shared" si="23"/>
        <v>5</v>
      </c>
      <c r="AR66" s="30">
        <f t="shared" si="24"/>
        <v>8608.2678983833721</v>
      </c>
    </row>
    <row r="67" spans="1:45" x14ac:dyDescent="0.2">
      <c r="A67" s="35">
        <v>4800</v>
      </c>
      <c r="C67" s="53"/>
      <c r="D67" s="58" t="s">
        <v>31</v>
      </c>
      <c r="E67" s="71">
        <f t="shared" si="21"/>
        <v>3360</v>
      </c>
      <c r="F67" s="54"/>
      <c r="G67" s="63">
        <v>1</v>
      </c>
      <c r="H67" s="41">
        <v>1</v>
      </c>
      <c r="I67" s="41">
        <v>1</v>
      </c>
      <c r="J67" s="41">
        <v>1</v>
      </c>
      <c r="K67" s="41">
        <v>0.5</v>
      </c>
      <c r="L67" s="41">
        <v>0.5</v>
      </c>
      <c r="M67" s="41">
        <v>0.25</v>
      </c>
      <c r="N67" s="41">
        <v>0.25</v>
      </c>
      <c r="O67" s="41">
        <v>0.25</v>
      </c>
      <c r="P67" s="41">
        <v>0.25</v>
      </c>
      <c r="Q67" s="41">
        <v>0.25</v>
      </c>
      <c r="R67" s="76">
        <v>0.5</v>
      </c>
      <c r="S67" s="63">
        <v>0.1</v>
      </c>
      <c r="T67" s="41">
        <v>0.1</v>
      </c>
      <c r="U67" s="41">
        <v>0.1</v>
      </c>
      <c r="V67" s="41">
        <v>0.1</v>
      </c>
      <c r="W67" s="41">
        <v>0.1</v>
      </c>
      <c r="X67" s="41">
        <v>0.1</v>
      </c>
      <c r="Y67" s="41">
        <v>0.1</v>
      </c>
      <c r="Z67" s="41">
        <v>0.1</v>
      </c>
      <c r="AA67" s="41">
        <v>0.1</v>
      </c>
      <c r="AB67" s="41">
        <v>0.1</v>
      </c>
      <c r="AC67" s="41">
        <v>0.1</v>
      </c>
      <c r="AD67" s="76">
        <v>0.1</v>
      </c>
      <c r="AE67" s="150"/>
      <c r="AF67" s="41">
        <v>0.1</v>
      </c>
      <c r="AG67" s="41">
        <v>0.1</v>
      </c>
      <c r="AH67" s="41">
        <v>0.1</v>
      </c>
      <c r="AI67" s="41">
        <v>0.1</v>
      </c>
      <c r="AJ67" s="41">
        <v>0.1</v>
      </c>
      <c r="AK67" s="41">
        <v>0.1</v>
      </c>
      <c r="AL67" s="41">
        <v>0.1</v>
      </c>
      <c r="AM67" s="41">
        <v>0.1</v>
      </c>
      <c r="AN67" s="41">
        <v>0.1</v>
      </c>
      <c r="AO67" s="52"/>
      <c r="AP67" s="30">
        <f t="shared" si="22"/>
        <v>132687.24</v>
      </c>
      <c r="AQ67" s="57">
        <f t="shared" si="23"/>
        <v>33</v>
      </c>
      <c r="AR67" s="30">
        <f t="shared" si="24"/>
        <v>4020.8254545454542</v>
      </c>
    </row>
    <row r="68" spans="1:45" ht="16" thickBot="1" x14ac:dyDescent="0.25">
      <c r="A68" s="35"/>
      <c r="C68" s="53"/>
      <c r="D68" s="58"/>
      <c r="E68" s="71"/>
      <c r="F68" s="54"/>
      <c r="G68" s="63"/>
      <c r="H68" s="41"/>
      <c r="I68" s="41"/>
      <c r="J68" s="41"/>
      <c r="K68" s="41"/>
      <c r="L68" s="41"/>
      <c r="M68" s="41"/>
      <c r="N68" s="41"/>
      <c r="O68" s="41"/>
      <c r="P68" s="41"/>
      <c r="Q68" s="41"/>
      <c r="R68" s="76"/>
      <c r="S68" s="63"/>
      <c r="T68" s="41"/>
      <c r="U68" s="41"/>
      <c r="V68" s="41"/>
      <c r="W68" s="41"/>
      <c r="X68" s="41"/>
      <c r="Y68" s="41"/>
      <c r="Z68" s="41"/>
      <c r="AA68" s="41"/>
      <c r="AB68" s="41"/>
      <c r="AC68" s="41"/>
      <c r="AD68" s="76"/>
      <c r="AE68" s="150"/>
      <c r="AF68" s="41"/>
      <c r="AG68" s="41"/>
      <c r="AH68" s="41"/>
      <c r="AI68" s="41"/>
      <c r="AJ68" s="41"/>
      <c r="AK68" s="41"/>
      <c r="AL68" s="41"/>
      <c r="AM68" s="41"/>
      <c r="AN68" s="41"/>
      <c r="AO68" s="52"/>
      <c r="AP68" s="30"/>
      <c r="AQ68" s="57"/>
      <c r="AR68" s="56"/>
    </row>
    <row r="69" spans="1:45" s="23" customFormat="1" ht="16" thickBot="1" x14ac:dyDescent="0.25">
      <c r="A69"/>
      <c r="C69" s="327" t="s">
        <v>36</v>
      </c>
      <c r="D69" s="328"/>
      <c r="E69" s="329"/>
      <c r="F69" s="20"/>
      <c r="G69" s="98">
        <f t="shared" ref="G69:AN69" si="25">SUMPRODUCT(($E$62:$E$68),(G62:G68))*(G59)*(G60)</f>
        <v>50704.68822170901</v>
      </c>
      <c r="H69" s="98">
        <f t="shared" si="25"/>
        <v>45797.782909930713</v>
      </c>
      <c r="I69" s="98">
        <f t="shared" si="25"/>
        <v>32792.344110854501</v>
      </c>
      <c r="J69" s="98">
        <f t="shared" si="25"/>
        <v>22662.886836027712</v>
      </c>
      <c r="K69" s="98">
        <f t="shared" si="25"/>
        <v>14923.314087759814</v>
      </c>
      <c r="L69" s="98">
        <f t="shared" si="25"/>
        <v>11307.090069284064</v>
      </c>
      <c r="M69" s="98">
        <f t="shared" si="25"/>
        <v>16111.107367205545</v>
      </c>
      <c r="N69" s="98">
        <f t="shared" si="25"/>
        <v>16111.107367205545</v>
      </c>
      <c r="O69" s="98">
        <f t="shared" si="25"/>
        <v>20131.500866050807</v>
      </c>
      <c r="P69" s="98">
        <f t="shared" si="25"/>
        <v>15974.964924942264</v>
      </c>
      <c r="Q69" s="98">
        <f t="shared" si="25"/>
        <v>10320.600346420324</v>
      </c>
      <c r="R69" s="99">
        <f t="shared" si="25"/>
        <v>14570.620357967669</v>
      </c>
      <c r="S69" s="11">
        <f t="shared" si="25"/>
        <v>8321.0203579676672</v>
      </c>
      <c r="T69" s="9">
        <f t="shared" si="25"/>
        <v>7784.1803348729809</v>
      </c>
      <c r="U69" s="9">
        <f t="shared" si="25"/>
        <v>8321.0203579676672</v>
      </c>
      <c r="V69" s="9">
        <f t="shared" si="25"/>
        <v>6495.3145496535799</v>
      </c>
      <c r="W69" s="9">
        <f t="shared" si="25"/>
        <v>6711.8250346420327</v>
      </c>
      <c r="X69" s="9">
        <f t="shared" si="25"/>
        <v>6495.3145496535799</v>
      </c>
      <c r="Y69" s="9">
        <f t="shared" si="25"/>
        <v>7047.416286374134</v>
      </c>
      <c r="Z69" s="9">
        <f t="shared" si="25"/>
        <v>7047.416286374134</v>
      </c>
      <c r="AA69" s="9">
        <f t="shared" si="25"/>
        <v>6820.0802771362587</v>
      </c>
      <c r="AB69" s="9">
        <f t="shared" si="25"/>
        <v>7047.416286374134</v>
      </c>
      <c r="AC69" s="9">
        <f t="shared" si="25"/>
        <v>6820.0802771362587</v>
      </c>
      <c r="AD69" s="10">
        <f t="shared" si="25"/>
        <v>7047.416286374134</v>
      </c>
      <c r="AE69" s="138">
        <f t="shared" si="25"/>
        <v>0</v>
      </c>
      <c r="AF69" s="9">
        <f t="shared" si="25"/>
        <v>7047.416286374134</v>
      </c>
      <c r="AG69" s="9">
        <f t="shared" si="25"/>
        <v>6365.4082586605082</v>
      </c>
      <c r="AH69" s="9">
        <f t="shared" si="25"/>
        <v>7047.416286374134</v>
      </c>
      <c r="AI69" s="9">
        <f t="shared" si="25"/>
        <v>6820.0802771362587</v>
      </c>
      <c r="AJ69" s="9">
        <f t="shared" si="25"/>
        <v>7047.416286374134</v>
      </c>
      <c r="AK69" s="9">
        <f t="shared" si="25"/>
        <v>6820.0802771362587</v>
      </c>
      <c r="AL69" s="9">
        <f t="shared" si="25"/>
        <v>10764.657483256353</v>
      </c>
      <c r="AM69" s="9">
        <f t="shared" si="25"/>
        <v>12623.278081697459</v>
      </c>
      <c r="AN69" s="9">
        <f t="shared" si="25"/>
        <v>6820.0802771362587</v>
      </c>
      <c r="AO69" s="14"/>
      <c r="AP69" s="19">
        <f>SUM(G69:AN69)</f>
        <v>428722.34186402999</v>
      </c>
      <c r="AQ69" s="106">
        <f>COUNT(G69:AN69)</f>
        <v>34</v>
      </c>
      <c r="AR69" s="18">
        <f>AP69/AQ69</f>
        <v>12609.480643059705</v>
      </c>
      <c r="AS69" s="49"/>
    </row>
    <row r="70" spans="1:45" customFormat="1" ht="6" customHeight="1" thickBot="1" x14ac:dyDescent="0.25"/>
    <row r="71" spans="1:45" s="23" customFormat="1" x14ac:dyDescent="0.2">
      <c r="A71"/>
      <c r="C71" s="86" t="s">
        <v>33</v>
      </c>
      <c r="D71" s="87"/>
      <c r="E71" s="341" t="s">
        <v>61</v>
      </c>
      <c r="F71" s="342"/>
      <c r="G71" s="90"/>
      <c r="H71" s="91"/>
      <c r="I71" s="91"/>
      <c r="J71" s="91"/>
      <c r="K71" s="91"/>
      <c r="L71" s="91"/>
      <c r="M71" s="91"/>
      <c r="N71" s="91"/>
      <c r="O71" s="91"/>
      <c r="P71" s="91"/>
      <c r="Q71" s="91"/>
      <c r="R71" s="92"/>
      <c r="S71" s="90"/>
      <c r="T71" s="91"/>
      <c r="U71" s="91"/>
      <c r="V71" s="91"/>
      <c r="W71" s="91"/>
      <c r="X71" s="91"/>
      <c r="Y71" s="91"/>
      <c r="Z71" s="91"/>
      <c r="AA71" s="91"/>
      <c r="AB71" s="91"/>
      <c r="AC71" s="91"/>
      <c r="AD71" s="93"/>
      <c r="AE71" s="145"/>
      <c r="AF71" s="142"/>
      <c r="AG71" s="139"/>
      <c r="AH71" s="139"/>
      <c r="AI71" s="139"/>
      <c r="AJ71" s="139"/>
      <c r="AK71" s="139"/>
      <c r="AL71" s="139"/>
      <c r="AM71" s="139"/>
      <c r="AN71" s="140"/>
      <c r="AO71" s="94"/>
      <c r="AP71" s="95"/>
      <c r="AQ71" s="95"/>
      <c r="AR71" s="95"/>
    </row>
    <row r="72" spans="1:45" s="23" customFormat="1" x14ac:dyDescent="0.2">
      <c r="A72" s="35">
        <f>$F$2*0.00001</f>
        <v>375.00000000000006</v>
      </c>
      <c r="C72" s="53"/>
      <c r="D72" s="58" t="s">
        <v>20</v>
      </c>
      <c r="E72" s="337"/>
      <c r="F72" s="338"/>
      <c r="G72" s="77"/>
      <c r="H72" s="78"/>
      <c r="I72" s="78">
        <f>$A$72</f>
        <v>375.00000000000006</v>
      </c>
      <c r="J72" s="78">
        <f>$A$72</f>
        <v>375.00000000000006</v>
      </c>
      <c r="K72" s="78">
        <f>$A$72</f>
        <v>375.00000000000006</v>
      </c>
      <c r="L72" s="78">
        <f>$A$72</f>
        <v>375.00000000000006</v>
      </c>
      <c r="M72" s="78">
        <f>$A$72*0.8</f>
        <v>300.00000000000006</v>
      </c>
      <c r="N72" s="78">
        <f>$A$72*0.8</f>
        <v>300.00000000000006</v>
      </c>
      <c r="O72" s="78">
        <f>$A$72*0.8</f>
        <v>300.00000000000006</v>
      </c>
      <c r="P72" s="78">
        <f>$A$72*0.6</f>
        <v>225.00000000000003</v>
      </c>
      <c r="Q72" s="78">
        <f>$A$72*0.6</f>
        <v>225.00000000000003</v>
      </c>
      <c r="R72" s="137">
        <f>$A$72</f>
        <v>375.00000000000006</v>
      </c>
      <c r="S72" s="144">
        <f t="shared" ref="S72:AD72" si="26">$A$72*0.6</f>
        <v>225.00000000000003</v>
      </c>
      <c r="T72" s="78">
        <f t="shared" si="26"/>
        <v>225.00000000000003</v>
      </c>
      <c r="U72" s="78">
        <f t="shared" si="26"/>
        <v>225.00000000000003</v>
      </c>
      <c r="V72" s="78">
        <f t="shared" si="26"/>
        <v>225.00000000000003</v>
      </c>
      <c r="W72" s="78">
        <f t="shared" si="26"/>
        <v>225.00000000000003</v>
      </c>
      <c r="X72" s="78">
        <f t="shared" si="26"/>
        <v>225.00000000000003</v>
      </c>
      <c r="Y72" s="78">
        <f t="shared" si="26"/>
        <v>225.00000000000003</v>
      </c>
      <c r="Z72" s="78">
        <f t="shared" si="26"/>
        <v>225.00000000000003</v>
      </c>
      <c r="AA72" s="78">
        <f t="shared" si="26"/>
        <v>225.00000000000003</v>
      </c>
      <c r="AB72" s="78">
        <f t="shared" si="26"/>
        <v>225.00000000000003</v>
      </c>
      <c r="AC72" s="78">
        <f t="shared" si="26"/>
        <v>225.00000000000003</v>
      </c>
      <c r="AD72" s="168">
        <f t="shared" si="26"/>
        <v>225.00000000000003</v>
      </c>
      <c r="AE72" s="113"/>
      <c r="AF72" s="80">
        <f t="shared" ref="AF72:AN72" si="27">$A$72*0.6</f>
        <v>225.00000000000003</v>
      </c>
      <c r="AG72" s="78">
        <f t="shared" si="27"/>
        <v>225.00000000000003</v>
      </c>
      <c r="AH72" s="78">
        <f t="shared" si="27"/>
        <v>225.00000000000003</v>
      </c>
      <c r="AI72" s="78">
        <f t="shared" si="27"/>
        <v>225.00000000000003</v>
      </c>
      <c r="AJ72" s="78">
        <f t="shared" si="27"/>
        <v>225.00000000000003</v>
      </c>
      <c r="AK72" s="78">
        <f t="shared" si="27"/>
        <v>225.00000000000003</v>
      </c>
      <c r="AL72" s="78">
        <f t="shared" si="27"/>
        <v>225.00000000000003</v>
      </c>
      <c r="AM72" s="78">
        <f t="shared" si="27"/>
        <v>225.00000000000003</v>
      </c>
      <c r="AN72" s="78">
        <f t="shared" si="27"/>
        <v>225.00000000000003</v>
      </c>
      <c r="AO72" s="52"/>
      <c r="AP72" s="141">
        <f>SUM(G72:AO72)</f>
        <v>7950.0000000000009</v>
      </c>
      <c r="AQ72" s="57">
        <f>COUNT(G72:AN72)</f>
        <v>31</v>
      </c>
      <c r="AR72" s="30">
        <f>AP72/AQ72</f>
        <v>256.45161290322585</v>
      </c>
    </row>
    <row r="73" spans="1:45" s="23" customFormat="1" x14ac:dyDescent="0.2">
      <c r="A73" s="35">
        <f>$F$2*0.00001</f>
        <v>375.00000000000006</v>
      </c>
      <c r="C73" s="53"/>
      <c r="D73" s="58" t="s">
        <v>21</v>
      </c>
      <c r="E73" s="339"/>
      <c r="F73" s="340"/>
      <c r="G73" s="77"/>
      <c r="H73" s="78">
        <f>$A$72*2</f>
        <v>750.00000000000011</v>
      </c>
      <c r="I73" s="78">
        <f t="shared" ref="I73:J73" si="28">$A$72*2</f>
        <v>750.00000000000011</v>
      </c>
      <c r="J73" s="78">
        <f t="shared" si="28"/>
        <v>750.00000000000011</v>
      </c>
      <c r="K73" s="78">
        <f>$A$72*4</f>
        <v>1500.0000000000002</v>
      </c>
      <c r="L73" s="78">
        <f>$A$72*6</f>
        <v>2250.0000000000005</v>
      </c>
      <c r="M73" s="78">
        <f t="shared" ref="M73:O73" si="29">$A$72*6</f>
        <v>2250.0000000000005</v>
      </c>
      <c r="N73" s="78">
        <f t="shared" si="29"/>
        <v>2250.0000000000005</v>
      </c>
      <c r="O73" s="78">
        <f t="shared" si="29"/>
        <v>2250.0000000000005</v>
      </c>
      <c r="P73" s="78">
        <f t="shared" ref="P73:Q73" si="30">$A$72*4</f>
        <v>1500.0000000000002</v>
      </c>
      <c r="Q73" s="78">
        <f t="shared" si="30"/>
        <v>1500.0000000000002</v>
      </c>
      <c r="R73" s="78">
        <f t="shared" ref="R73" si="31">$A$72*6</f>
        <v>2250.0000000000005</v>
      </c>
      <c r="S73" s="144">
        <f>$A$73*0.4</f>
        <v>150.00000000000003</v>
      </c>
      <c r="T73" s="78">
        <f t="shared" ref="T73:W73" si="32">$A$73*0.4</f>
        <v>150.00000000000003</v>
      </c>
      <c r="U73" s="78">
        <f t="shared" si="32"/>
        <v>150.00000000000003</v>
      </c>
      <c r="V73" s="78">
        <f t="shared" si="32"/>
        <v>150.00000000000003</v>
      </c>
      <c r="W73" s="78">
        <f t="shared" si="32"/>
        <v>150.00000000000003</v>
      </c>
      <c r="X73" s="78">
        <f>$A$73*2</f>
        <v>750.00000000000011</v>
      </c>
      <c r="Y73" s="78">
        <f>$A$73*4</f>
        <v>1500.0000000000002</v>
      </c>
      <c r="Z73" s="78">
        <f t="shared" ref="Z73:AC73" si="33">$A$73*4</f>
        <v>1500.0000000000002</v>
      </c>
      <c r="AA73" s="78">
        <f t="shared" si="33"/>
        <v>1500.0000000000002</v>
      </c>
      <c r="AB73" s="78">
        <f t="shared" si="33"/>
        <v>1500.0000000000002</v>
      </c>
      <c r="AC73" s="78">
        <f t="shared" si="33"/>
        <v>1500.0000000000002</v>
      </c>
      <c r="AD73" s="79">
        <f>$A$73*2</f>
        <v>750.00000000000011</v>
      </c>
      <c r="AE73" s="113"/>
      <c r="AF73" s="80">
        <f t="shared" ref="AF73:AI73" si="34">$A$73*2</f>
        <v>750.00000000000011</v>
      </c>
      <c r="AG73" s="78">
        <f t="shared" si="34"/>
        <v>750.00000000000011</v>
      </c>
      <c r="AH73" s="78">
        <f t="shared" si="34"/>
        <v>750.00000000000011</v>
      </c>
      <c r="AI73" s="78">
        <f t="shared" si="34"/>
        <v>750.00000000000011</v>
      </c>
      <c r="AJ73" s="78">
        <f>$A$73*0.4</f>
        <v>150.00000000000003</v>
      </c>
      <c r="AK73" s="78">
        <f t="shared" ref="AK73:AN73" si="35">$A$73*0.4</f>
        <v>150.00000000000003</v>
      </c>
      <c r="AL73" s="78">
        <f t="shared" si="35"/>
        <v>150.00000000000003</v>
      </c>
      <c r="AM73" s="78">
        <f t="shared" si="35"/>
        <v>150.00000000000003</v>
      </c>
      <c r="AN73" s="78">
        <f t="shared" si="35"/>
        <v>150.00000000000003</v>
      </c>
      <c r="AO73" s="52"/>
      <c r="AP73" s="141">
        <f t="shared" ref="AP73:AP79" si="36">SUM(G73:AO73)</f>
        <v>31500.000000000004</v>
      </c>
      <c r="AQ73" s="57">
        <f t="shared" ref="AQ73:AQ77" si="37">COUNT(G73:AN73)</f>
        <v>32</v>
      </c>
      <c r="AR73" s="30">
        <f t="shared" ref="AR73:AR79" si="38">AP73/AQ73</f>
        <v>984.37500000000011</v>
      </c>
    </row>
    <row r="74" spans="1:45" s="23" customFormat="1" x14ac:dyDescent="0.2">
      <c r="A74" s="169">
        <f>(F44*0.025*0.025)/12</f>
        <v>1953.125</v>
      </c>
      <c r="C74" s="53"/>
      <c r="D74" s="58" t="s">
        <v>58</v>
      </c>
      <c r="E74" s="339" t="s">
        <v>84</v>
      </c>
      <c r="F74" s="340"/>
      <c r="G74" s="77"/>
      <c r="H74" s="78"/>
      <c r="I74" s="78"/>
      <c r="J74" s="78"/>
      <c r="K74" s="78"/>
      <c r="L74" s="78"/>
      <c r="M74" s="78"/>
      <c r="N74" s="78"/>
      <c r="O74" s="78"/>
      <c r="P74" s="78"/>
      <c r="Q74" s="78"/>
      <c r="R74" s="79"/>
      <c r="S74" s="80">
        <f>$A$74</f>
        <v>1953.125</v>
      </c>
      <c r="T74" s="78">
        <f t="shared" ref="T74:AN74" si="39">$A$74</f>
        <v>1953.125</v>
      </c>
      <c r="U74" s="78">
        <f t="shared" si="39"/>
        <v>1953.125</v>
      </c>
      <c r="V74" s="78">
        <f t="shared" si="39"/>
        <v>1953.125</v>
      </c>
      <c r="W74" s="78">
        <f t="shared" si="39"/>
        <v>1953.125</v>
      </c>
      <c r="X74" s="78">
        <f t="shared" si="39"/>
        <v>1953.125</v>
      </c>
      <c r="Y74" s="78">
        <f t="shared" si="39"/>
        <v>1953.125</v>
      </c>
      <c r="Z74" s="78">
        <f t="shared" si="39"/>
        <v>1953.125</v>
      </c>
      <c r="AA74" s="78">
        <f t="shared" si="39"/>
        <v>1953.125</v>
      </c>
      <c r="AB74" s="78">
        <f t="shared" si="39"/>
        <v>1953.125</v>
      </c>
      <c r="AC74" s="78">
        <f t="shared" si="39"/>
        <v>1953.125</v>
      </c>
      <c r="AD74" s="79">
        <f t="shared" si="39"/>
        <v>1953.125</v>
      </c>
      <c r="AE74" s="113"/>
      <c r="AF74" s="80">
        <f t="shared" si="39"/>
        <v>1953.125</v>
      </c>
      <c r="AG74" s="78">
        <f t="shared" si="39"/>
        <v>1953.125</v>
      </c>
      <c r="AH74" s="78">
        <f t="shared" si="39"/>
        <v>1953.125</v>
      </c>
      <c r="AI74" s="78">
        <f t="shared" si="39"/>
        <v>1953.125</v>
      </c>
      <c r="AJ74" s="78">
        <f t="shared" si="39"/>
        <v>1953.125</v>
      </c>
      <c r="AK74" s="78">
        <f t="shared" si="39"/>
        <v>1953.125</v>
      </c>
      <c r="AL74" s="78">
        <f t="shared" si="39"/>
        <v>1953.125</v>
      </c>
      <c r="AM74" s="78">
        <f t="shared" si="39"/>
        <v>1953.125</v>
      </c>
      <c r="AN74" s="78">
        <f t="shared" si="39"/>
        <v>1953.125</v>
      </c>
      <c r="AO74" s="52"/>
      <c r="AP74" s="141">
        <f t="shared" si="36"/>
        <v>41015.625</v>
      </c>
      <c r="AQ74" s="57">
        <f>COUNT(G74:AN74)</f>
        <v>21</v>
      </c>
      <c r="AR74" s="30">
        <f t="shared" si="38"/>
        <v>1953.125</v>
      </c>
    </row>
    <row r="75" spans="1:45" s="23" customFormat="1" x14ac:dyDescent="0.2">
      <c r="A75" s="35">
        <f>$F$2*0.00001</f>
        <v>375.00000000000006</v>
      </c>
      <c r="C75" s="53"/>
      <c r="D75" s="58" t="s">
        <v>22</v>
      </c>
      <c r="E75" s="339"/>
      <c r="F75" s="340"/>
      <c r="G75" s="77">
        <v>1000</v>
      </c>
      <c r="H75" s="78">
        <v>1000</v>
      </c>
      <c r="I75" s="78">
        <v>1000</v>
      </c>
      <c r="J75" s="78">
        <v>500</v>
      </c>
      <c r="K75" s="78">
        <v>500</v>
      </c>
      <c r="L75" s="78"/>
      <c r="M75" s="78"/>
      <c r="N75" s="78"/>
      <c r="O75" s="78"/>
      <c r="P75" s="78"/>
      <c r="Q75" s="78"/>
      <c r="R75" s="79"/>
      <c r="S75" s="80"/>
      <c r="T75" s="78"/>
      <c r="U75" s="78"/>
      <c r="V75" s="78"/>
      <c r="W75" s="78"/>
      <c r="X75" s="78"/>
      <c r="Y75" s="78"/>
      <c r="Z75" s="78"/>
      <c r="AA75" s="78"/>
      <c r="AB75" s="78"/>
      <c r="AC75" s="78"/>
      <c r="AD75" s="79"/>
      <c r="AE75" s="113"/>
      <c r="AF75" s="80"/>
      <c r="AG75" s="78"/>
      <c r="AH75" s="78"/>
      <c r="AI75" s="78"/>
      <c r="AJ75" s="78"/>
      <c r="AK75" s="78"/>
      <c r="AL75" s="78"/>
      <c r="AM75" s="78"/>
      <c r="AN75" s="78"/>
      <c r="AO75" s="52"/>
      <c r="AP75" s="141">
        <f t="shared" si="36"/>
        <v>4000</v>
      </c>
      <c r="AQ75" s="57">
        <f t="shared" si="37"/>
        <v>5</v>
      </c>
      <c r="AR75" s="30">
        <f t="shared" si="38"/>
        <v>800</v>
      </c>
    </row>
    <row r="76" spans="1:45" s="23" customFormat="1" x14ac:dyDescent="0.2">
      <c r="A76" s="35">
        <f>$F$2*0.00001</f>
        <v>375.00000000000006</v>
      </c>
      <c r="C76" s="53"/>
      <c r="D76" s="58" t="s">
        <v>19</v>
      </c>
      <c r="E76" s="339"/>
      <c r="F76" s="340"/>
      <c r="G76" s="77"/>
      <c r="H76" s="78"/>
      <c r="I76" s="78">
        <f>$A$76</f>
        <v>375.00000000000006</v>
      </c>
      <c r="J76" s="78">
        <f>$A$76</f>
        <v>375.00000000000006</v>
      </c>
      <c r="K76" s="78"/>
      <c r="L76" s="78"/>
      <c r="M76" s="78"/>
      <c r="N76" s="78"/>
      <c r="O76" s="78"/>
      <c r="P76" s="78"/>
      <c r="Q76" s="78"/>
      <c r="R76" s="79"/>
      <c r="S76" s="80"/>
      <c r="T76" s="78"/>
      <c r="U76" s="78"/>
      <c r="V76" s="78"/>
      <c r="W76" s="78"/>
      <c r="X76" s="78">
        <f>$A$76*2</f>
        <v>750.00000000000011</v>
      </c>
      <c r="Y76" s="78">
        <f t="shared" ref="Y76:AA76" si="40">$A$76*2</f>
        <v>750.00000000000011</v>
      </c>
      <c r="Z76" s="78">
        <f t="shared" si="40"/>
        <v>750.00000000000011</v>
      </c>
      <c r="AA76" s="78">
        <f t="shared" si="40"/>
        <v>750.00000000000011</v>
      </c>
      <c r="AB76" s="78"/>
      <c r="AC76" s="78"/>
      <c r="AD76" s="79"/>
      <c r="AE76" s="113"/>
      <c r="AF76" s="80"/>
      <c r="AG76" s="78"/>
      <c r="AH76" s="78"/>
      <c r="AI76" s="78"/>
      <c r="AJ76" s="78"/>
      <c r="AK76" s="78"/>
      <c r="AL76" s="78"/>
      <c r="AM76" s="78"/>
      <c r="AN76" s="78"/>
      <c r="AO76" s="52"/>
      <c r="AP76" s="141">
        <f t="shared" si="36"/>
        <v>3750.0000000000005</v>
      </c>
      <c r="AQ76" s="57">
        <f t="shared" si="37"/>
        <v>6</v>
      </c>
      <c r="AR76" s="30">
        <f t="shared" si="38"/>
        <v>625.00000000000011</v>
      </c>
    </row>
    <row r="77" spans="1:45" s="23" customFormat="1" x14ac:dyDescent="0.2">
      <c r="A77" s="35">
        <f>$F$2*0.00001</f>
        <v>375.00000000000006</v>
      </c>
      <c r="C77" s="53"/>
      <c r="D77" s="58" t="s">
        <v>23</v>
      </c>
      <c r="E77" s="339"/>
      <c r="F77" s="340"/>
      <c r="G77" s="77"/>
      <c r="H77" s="78"/>
      <c r="I77" s="78"/>
      <c r="J77" s="78"/>
      <c r="K77" s="78"/>
      <c r="L77" s="78"/>
      <c r="M77" s="78"/>
      <c r="N77" s="78"/>
      <c r="O77" s="78"/>
      <c r="P77" s="78"/>
      <c r="Q77" s="78"/>
      <c r="R77" s="79"/>
      <c r="S77" s="80"/>
      <c r="T77" s="78"/>
      <c r="U77" s="78"/>
      <c r="V77" s="78"/>
      <c r="W77" s="78">
        <f>$A$77*4</f>
        <v>1500.0000000000002</v>
      </c>
      <c r="X77" s="78">
        <f>$A$77*4</f>
        <v>1500.0000000000002</v>
      </c>
      <c r="Y77" s="78">
        <f>$A$77*4</f>
        <v>1500.0000000000002</v>
      </c>
      <c r="Z77" s="78">
        <f>$A$77*4</f>
        <v>1500.0000000000002</v>
      </c>
      <c r="AA77" s="78">
        <f>$A$77*4</f>
        <v>1500.0000000000002</v>
      </c>
      <c r="AB77" s="78">
        <f>$A$77*2</f>
        <v>750.00000000000011</v>
      </c>
      <c r="AC77" s="78">
        <f t="shared" ref="AC77:AJ77" si="41">$A$77*2</f>
        <v>750.00000000000011</v>
      </c>
      <c r="AD77" s="79">
        <f t="shared" si="41"/>
        <v>750.00000000000011</v>
      </c>
      <c r="AE77" s="113"/>
      <c r="AF77" s="80">
        <f t="shared" si="41"/>
        <v>750.00000000000011</v>
      </c>
      <c r="AG77" s="78">
        <f t="shared" si="41"/>
        <v>750.00000000000011</v>
      </c>
      <c r="AH77" s="78">
        <f t="shared" si="41"/>
        <v>750.00000000000011</v>
      </c>
      <c r="AI77" s="78">
        <f t="shared" si="41"/>
        <v>750.00000000000011</v>
      </c>
      <c r="AJ77" s="78">
        <f t="shared" si="41"/>
        <v>750.00000000000011</v>
      </c>
      <c r="AK77" s="78">
        <f t="shared" ref="AK77:AM77" si="42">$A$77*4</f>
        <v>1500.0000000000002</v>
      </c>
      <c r="AL77" s="78">
        <f t="shared" si="42"/>
        <v>1500.0000000000002</v>
      </c>
      <c r="AM77" s="78">
        <f t="shared" si="42"/>
        <v>1500.0000000000002</v>
      </c>
      <c r="AN77" s="78"/>
      <c r="AO77" s="52"/>
      <c r="AP77" s="141">
        <f t="shared" si="36"/>
        <v>18000.000000000004</v>
      </c>
      <c r="AQ77" s="57">
        <f t="shared" si="37"/>
        <v>16</v>
      </c>
      <c r="AR77" s="30">
        <f t="shared" si="38"/>
        <v>1125.0000000000002</v>
      </c>
    </row>
    <row r="78" spans="1:45" s="23" customFormat="1" x14ac:dyDescent="0.2">
      <c r="A78" s="35">
        <f>$F$2*0.00001</f>
        <v>375.00000000000006</v>
      </c>
      <c r="C78" s="53"/>
      <c r="D78" s="58" t="s">
        <v>25</v>
      </c>
      <c r="E78" s="339"/>
      <c r="F78" s="340"/>
      <c r="G78" s="77"/>
      <c r="H78" s="78"/>
      <c r="I78" s="78"/>
      <c r="J78" s="78"/>
      <c r="K78" s="78"/>
      <c r="L78" s="78"/>
      <c r="M78" s="78"/>
      <c r="N78" s="78"/>
      <c r="O78" s="78"/>
      <c r="P78" s="81"/>
      <c r="Q78" s="81"/>
      <c r="R78" s="82"/>
      <c r="S78" s="83"/>
      <c r="T78" s="81"/>
      <c r="U78" s="81"/>
      <c r="V78" s="81"/>
      <c r="W78" s="81"/>
      <c r="X78" s="78">
        <f>$A$78*4</f>
        <v>1500.0000000000002</v>
      </c>
      <c r="Y78" s="78">
        <f t="shared" ref="Y78:AB78" si="43">$A$78*4</f>
        <v>1500.0000000000002</v>
      </c>
      <c r="Z78" s="78">
        <f t="shared" si="43"/>
        <v>1500.0000000000002</v>
      </c>
      <c r="AA78" s="78">
        <f t="shared" si="43"/>
        <v>1500.0000000000002</v>
      </c>
      <c r="AB78" s="78">
        <f t="shared" si="43"/>
        <v>1500.0000000000002</v>
      </c>
      <c r="AC78" s="81"/>
      <c r="AD78" s="84"/>
      <c r="AE78" s="115"/>
      <c r="AF78" s="80"/>
      <c r="AG78" s="78"/>
      <c r="AH78" s="78"/>
      <c r="AI78" s="78"/>
      <c r="AJ78" s="78"/>
      <c r="AK78" s="78"/>
      <c r="AL78" s="78"/>
      <c r="AM78" s="78"/>
      <c r="AN78" s="78"/>
      <c r="AO78" s="52"/>
      <c r="AP78" s="141">
        <f t="shared" si="36"/>
        <v>7500.0000000000009</v>
      </c>
      <c r="AQ78" s="57">
        <f>COUNT(G78:AN78)</f>
        <v>5</v>
      </c>
      <c r="AR78" s="30">
        <f t="shared" si="38"/>
        <v>1500.0000000000002</v>
      </c>
    </row>
    <row r="79" spans="1:45" s="23" customFormat="1" x14ac:dyDescent="0.2">
      <c r="A79" s="35">
        <f>$F$2*0.00001</f>
        <v>375.00000000000006</v>
      </c>
      <c r="C79" s="53"/>
      <c r="D79" s="58" t="s">
        <v>44</v>
      </c>
      <c r="E79" s="339"/>
      <c r="F79" s="340"/>
      <c r="G79" s="77"/>
      <c r="H79" s="78"/>
      <c r="I79" s="78"/>
      <c r="J79" s="78"/>
      <c r="K79" s="78"/>
      <c r="L79" s="78"/>
      <c r="M79" s="78"/>
      <c r="N79" s="78"/>
      <c r="O79" s="78"/>
      <c r="P79" s="81"/>
      <c r="Q79" s="81"/>
      <c r="R79" s="82"/>
      <c r="S79" s="83"/>
      <c r="T79" s="81"/>
      <c r="U79" s="81"/>
      <c r="V79" s="81"/>
      <c r="W79" s="81"/>
      <c r="X79" s="81"/>
      <c r="Y79" s="81"/>
      <c r="Z79" s="81"/>
      <c r="AA79" s="81"/>
      <c r="AB79" s="81"/>
      <c r="AC79" s="81"/>
      <c r="AD79" s="84"/>
      <c r="AE79" s="115"/>
      <c r="AF79" s="80"/>
      <c r="AG79" s="78"/>
      <c r="AH79" s="78"/>
      <c r="AI79" s="78"/>
      <c r="AJ79" s="78"/>
      <c r="AK79" s="78"/>
      <c r="AL79" s="78"/>
      <c r="AM79" s="78"/>
      <c r="AN79" s="78">
        <f>$A$79*100</f>
        <v>37500.000000000007</v>
      </c>
      <c r="AO79" s="52"/>
      <c r="AP79" s="141">
        <f t="shared" si="36"/>
        <v>37500.000000000007</v>
      </c>
      <c r="AQ79" s="57">
        <f>COUNT(G79:AN79)</f>
        <v>1</v>
      </c>
      <c r="AR79" s="30">
        <f t="shared" si="38"/>
        <v>37500.000000000007</v>
      </c>
    </row>
    <row r="80" spans="1:45" s="23" customFormat="1" x14ac:dyDescent="0.2">
      <c r="A80" s="35"/>
      <c r="C80" s="53"/>
      <c r="D80" s="58" t="s">
        <v>24</v>
      </c>
      <c r="E80" s="339" t="s">
        <v>60</v>
      </c>
      <c r="F80" s="340"/>
      <c r="G80" s="77"/>
      <c r="H80" s="78"/>
      <c r="I80" s="78"/>
      <c r="J80" s="78"/>
      <c r="K80" s="78"/>
      <c r="L80" s="78"/>
      <c r="M80" s="78"/>
      <c r="N80" s="78"/>
      <c r="O80" s="78"/>
      <c r="P80" s="81"/>
      <c r="Q80" s="81"/>
      <c r="R80" s="82"/>
      <c r="S80" s="83"/>
      <c r="T80" s="81"/>
      <c r="U80" s="81"/>
      <c r="V80" s="81"/>
      <c r="W80" s="81"/>
      <c r="X80" s="81"/>
      <c r="Y80" s="81"/>
      <c r="Z80" s="81"/>
      <c r="AA80" s="81"/>
      <c r="AB80" s="81"/>
      <c r="AC80" s="81"/>
      <c r="AD80" s="84"/>
      <c r="AE80" s="115"/>
      <c r="AF80" s="80"/>
      <c r="AG80" s="78"/>
      <c r="AH80" s="78"/>
      <c r="AI80" s="78"/>
      <c r="AJ80" s="78"/>
      <c r="AK80" s="78"/>
      <c r="AL80" s="78"/>
      <c r="AM80" s="78"/>
      <c r="AN80" s="78"/>
      <c r="AO80" s="52"/>
      <c r="AP80" s="141"/>
      <c r="AQ80" s="57">
        <f>COUNT(G80:AN80)</f>
        <v>0</v>
      </c>
      <c r="AR80" s="30"/>
    </row>
    <row r="81" spans="1:45" s="23" customFormat="1" ht="16" thickBot="1" x14ac:dyDescent="0.25">
      <c r="A81" s="35"/>
      <c r="C81" s="53"/>
      <c r="D81" s="58"/>
      <c r="E81" s="339"/>
      <c r="F81" s="340"/>
      <c r="G81" s="77"/>
      <c r="H81" s="78"/>
      <c r="I81" s="78"/>
      <c r="J81" s="78"/>
      <c r="K81" s="78"/>
      <c r="L81" s="78"/>
      <c r="M81" s="78"/>
      <c r="N81" s="78"/>
      <c r="O81" s="78"/>
      <c r="P81" s="78"/>
      <c r="Q81" s="78"/>
      <c r="R81" s="79"/>
      <c r="S81" s="80"/>
      <c r="T81" s="78"/>
      <c r="U81" s="78"/>
      <c r="V81" s="78"/>
      <c r="W81" s="78"/>
      <c r="X81" s="78"/>
      <c r="Y81" s="78"/>
      <c r="Z81" s="78"/>
      <c r="AA81" s="78"/>
      <c r="AB81" s="78"/>
      <c r="AC81" s="78"/>
      <c r="AD81" s="79"/>
      <c r="AE81" s="113"/>
      <c r="AF81" s="80"/>
      <c r="AG81" s="78"/>
      <c r="AH81" s="78"/>
      <c r="AI81" s="78"/>
      <c r="AJ81" s="78"/>
      <c r="AK81" s="78"/>
      <c r="AL81" s="78"/>
      <c r="AM81" s="78"/>
      <c r="AN81" s="78"/>
      <c r="AO81" s="52"/>
      <c r="AP81" s="141"/>
      <c r="AQ81" s="57"/>
      <c r="AR81" s="56"/>
    </row>
    <row r="82" spans="1:45" s="23" customFormat="1" ht="16" thickBot="1" x14ac:dyDescent="0.25">
      <c r="A82"/>
      <c r="C82" s="327" t="s">
        <v>38</v>
      </c>
      <c r="D82" s="328"/>
      <c r="E82" s="329"/>
      <c r="F82" s="20"/>
      <c r="G82" s="11">
        <f t="shared" ref="G82:AD82" si="44">SUM(G72:G81)</f>
        <v>1000</v>
      </c>
      <c r="H82" s="9">
        <f t="shared" si="44"/>
        <v>1750</v>
      </c>
      <c r="I82" s="9">
        <f t="shared" si="44"/>
        <v>2500</v>
      </c>
      <c r="J82" s="9">
        <f t="shared" si="44"/>
        <v>2000.0000000000002</v>
      </c>
      <c r="K82" s="9">
        <f t="shared" si="44"/>
        <v>2375</v>
      </c>
      <c r="L82" s="9">
        <f t="shared" si="44"/>
        <v>2625.0000000000005</v>
      </c>
      <c r="M82" s="9">
        <f t="shared" si="44"/>
        <v>2550.0000000000005</v>
      </c>
      <c r="N82" s="9">
        <f t="shared" si="44"/>
        <v>2550.0000000000005</v>
      </c>
      <c r="O82" s="9">
        <f t="shared" si="44"/>
        <v>2550.0000000000005</v>
      </c>
      <c r="P82" s="9">
        <f t="shared" si="44"/>
        <v>1725.0000000000002</v>
      </c>
      <c r="Q82" s="9">
        <f t="shared" si="44"/>
        <v>1725.0000000000002</v>
      </c>
      <c r="R82" s="10">
        <f t="shared" si="44"/>
        <v>2625.0000000000005</v>
      </c>
      <c r="S82" s="11">
        <f t="shared" si="44"/>
        <v>2328.125</v>
      </c>
      <c r="T82" s="9">
        <f t="shared" si="44"/>
        <v>2328.125</v>
      </c>
      <c r="U82" s="9">
        <f t="shared" si="44"/>
        <v>2328.125</v>
      </c>
      <c r="V82" s="9">
        <f t="shared" si="44"/>
        <v>2328.125</v>
      </c>
      <c r="W82" s="9">
        <f t="shared" si="44"/>
        <v>3828.125</v>
      </c>
      <c r="X82" s="9">
        <f t="shared" si="44"/>
        <v>6678.125</v>
      </c>
      <c r="Y82" s="9">
        <f t="shared" si="44"/>
        <v>7428.125</v>
      </c>
      <c r="Z82" s="9">
        <f t="shared" si="44"/>
        <v>7428.125</v>
      </c>
      <c r="AA82" s="9">
        <f t="shared" si="44"/>
        <v>7428.125</v>
      </c>
      <c r="AB82" s="9">
        <f t="shared" si="44"/>
        <v>5928.125</v>
      </c>
      <c r="AC82" s="9">
        <f t="shared" si="44"/>
        <v>4428.125</v>
      </c>
      <c r="AD82" s="10">
        <f t="shared" si="44"/>
        <v>3678.125</v>
      </c>
      <c r="AE82" s="143"/>
      <c r="AF82" s="143">
        <f t="shared" ref="AF82:AN82" si="45">SUM(AF72:AF81)</f>
        <v>3678.125</v>
      </c>
      <c r="AG82" s="138">
        <f t="shared" si="45"/>
        <v>3678.125</v>
      </c>
      <c r="AH82" s="138">
        <f t="shared" si="45"/>
        <v>3678.125</v>
      </c>
      <c r="AI82" s="138">
        <f t="shared" si="45"/>
        <v>3678.125</v>
      </c>
      <c r="AJ82" s="138">
        <f t="shared" si="45"/>
        <v>3078.125</v>
      </c>
      <c r="AK82" s="138">
        <f t="shared" si="45"/>
        <v>3828.125</v>
      </c>
      <c r="AL82" s="138">
        <f t="shared" si="45"/>
        <v>3828.125</v>
      </c>
      <c r="AM82" s="138">
        <f t="shared" si="45"/>
        <v>3828.125</v>
      </c>
      <c r="AN82" s="138">
        <f t="shared" si="45"/>
        <v>39828.125000000007</v>
      </c>
      <c r="AO82" s="14"/>
      <c r="AP82" s="19">
        <f>SUM(G82:AN82)</f>
        <v>151215.625</v>
      </c>
      <c r="AQ82" s="106">
        <f>COUNT(G82:AN82)</f>
        <v>33</v>
      </c>
      <c r="AR82" s="18">
        <f t="shared" ref="AR82" si="46">AP82/AQ82</f>
        <v>4582.291666666667</v>
      </c>
      <c r="AS82" s="49"/>
    </row>
    <row r="83" spans="1:45" customFormat="1" ht="6" customHeight="1" thickBot="1" x14ac:dyDescent="0.25"/>
    <row r="84" spans="1:45" s="23" customFormat="1" x14ac:dyDescent="0.2">
      <c r="A84" s="34"/>
      <c r="C84" s="86" t="s">
        <v>34</v>
      </c>
      <c r="D84" s="87"/>
      <c r="E84" s="96" t="s">
        <v>13</v>
      </c>
      <c r="F84" s="97" t="s">
        <v>35</v>
      </c>
      <c r="G84" s="90"/>
      <c r="H84" s="91"/>
      <c r="I84" s="91"/>
      <c r="J84" s="91"/>
      <c r="K84" s="91"/>
      <c r="L84" s="91"/>
      <c r="M84" s="91"/>
      <c r="N84" s="91"/>
      <c r="O84" s="91"/>
      <c r="P84" s="91"/>
      <c r="Q84" s="91"/>
      <c r="R84" s="92"/>
      <c r="S84" s="90"/>
      <c r="T84" s="91"/>
      <c r="U84" s="91"/>
      <c r="V84" s="91"/>
      <c r="W84" s="91"/>
      <c r="X84" s="91"/>
      <c r="Y84" s="91"/>
      <c r="Z84" s="91"/>
      <c r="AA84" s="91"/>
      <c r="AB84" s="91"/>
      <c r="AC84" s="91"/>
      <c r="AD84" s="93"/>
      <c r="AE84" s="145"/>
      <c r="AF84" s="145"/>
      <c r="AG84" s="91"/>
      <c r="AH84" s="91"/>
      <c r="AI84" s="91"/>
      <c r="AJ84" s="91"/>
      <c r="AK84" s="91"/>
      <c r="AL84" s="91"/>
      <c r="AM84" s="91"/>
      <c r="AN84" s="94"/>
      <c r="AO84" s="94"/>
      <c r="AP84" s="95"/>
      <c r="AQ84" s="95"/>
      <c r="AR84" s="95"/>
    </row>
    <row r="85" spans="1:45" s="23" customFormat="1" x14ac:dyDescent="0.2">
      <c r="A85" s="35">
        <f>E85*F85</f>
        <v>300</v>
      </c>
      <c r="C85" s="39"/>
      <c r="D85" s="58" t="s">
        <v>34</v>
      </c>
      <c r="E85" s="85">
        <v>4</v>
      </c>
      <c r="F85" s="40">
        <f>F43</f>
        <v>75</v>
      </c>
      <c r="G85" s="64"/>
      <c r="H85" s="41"/>
      <c r="I85" s="41"/>
      <c r="J85" s="41"/>
      <c r="K85" s="41"/>
      <c r="L85" s="41"/>
      <c r="M85" s="41"/>
      <c r="N85" s="41"/>
      <c r="O85" s="41"/>
      <c r="P85" s="41"/>
      <c r="Q85" s="41"/>
      <c r="R85" s="41"/>
      <c r="S85" s="67"/>
      <c r="T85" s="65"/>
      <c r="U85" s="65"/>
      <c r="V85" s="65"/>
      <c r="W85" s="65"/>
      <c r="X85" s="65"/>
      <c r="Y85" s="65"/>
      <c r="Z85" s="65"/>
      <c r="AA85" s="65"/>
      <c r="AB85" s="65"/>
      <c r="AC85" s="65"/>
      <c r="AD85" s="66"/>
      <c r="AE85" s="114"/>
      <c r="AF85" s="146"/>
      <c r="AG85" s="78"/>
      <c r="AH85" s="78"/>
      <c r="AI85" s="78"/>
      <c r="AJ85" s="78"/>
      <c r="AK85" s="78"/>
      <c r="AL85" s="78"/>
      <c r="AM85" s="78"/>
      <c r="AN85" s="80"/>
      <c r="AO85" s="52"/>
      <c r="AP85" s="30"/>
      <c r="AQ85" s="57"/>
      <c r="AR85" s="30"/>
    </row>
    <row r="86" spans="1:45" s="23" customFormat="1" ht="16" thickBot="1" x14ac:dyDescent="0.25">
      <c r="A86" s="35"/>
      <c r="C86" s="39"/>
      <c r="D86" s="58"/>
      <c r="E86" s="58"/>
      <c r="F86" s="40"/>
      <c r="G86" s="64"/>
      <c r="H86" s="41"/>
      <c r="I86" s="41"/>
      <c r="J86" s="41"/>
      <c r="K86" s="41"/>
      <c r="L86" s="41"/>
      <c r="M86" s="41"/>
      <c r="N86" s="41"/>
      <c r="O86" s="41"/>
      <c r="P86" s="65"/>
      <c r="Q86" s="65"/>
      <c r="R86" s="66"/>
      <c r="S86" s="67"/>
      <c r="T86" s="65"/>
      <c r="U86" s="65"/>
      <c r="V86" s="65"/>
      <c r="W86" s="65"/>
      <c r="X86" s="65"/>
      <c r="Y86" s="65"/>
      <c r="Z86" s="65"/>
      <c r="AA86" s="55"/>
      <c r="AB86" s="55"/>
      <c r="AC86" s="55"/>
      <c r="AD86" s="51"/>
      <c r="AE86" s="151"/>
      <c r="AF86" s="113"/>
      <c r="AG86" s="78"/>
      <c r="AH86" s="78"/>
      <c r="AI86" s="78"/>
      <c r="AJ86" s="78"/>
      <c r="AK86" s="78"/>
      <c r="AL86" s="78"/>
      <c r="AM86" s="78"/>
      <c r="AN86" s="80"/>
      <c r="AO86" s="52"/>
      <c r="AP86" s="30"/>
      <c r="AQ86" s="31"/>
      <c r="AR86" s="30"/>
    </row>
    <row r="87" spans="1:45" s="23" customFormat="1" ht="16" thickBot="1" x14ac:dyDescent="0.25">
      <c r="A87"/>
      <c r="C87" s="327" t="s">
        <v>39</v>
      </c>
      <c r="D87" s="328"/>
      <c r="E87" s="329"/>
      <c r="F87" s="20"/>
      <c r="G87" s="11">
        <f t="shared" ref="G87:AD87" si="47">SUMPRODUCT(($A$85:$A$86),(G85:G86))</f>
        <v>0</v>
      </c>
      <c r="H87" s="9">
        <f t="shared" si="47"/>
        <v>0</v>
      </c>
      <c r="I87" s="9">
        <f t="shared" si="47"/>
        <v>0</v>
      </c>
      <c r="J87" s="9">
        <f t="shared" si="47"/>
        <v>0</v>
      </c>
      <c r="K87" s="9">
        <f t="shared" si="47"/>
        <v>0</v>
      </c>
      <c r="L87" s="9">
        <f t="shared" si="47"/>
        <v>0</v>
      </c>
      <c r="M87" s="9">
        <f t="shared" si="47"/>
        <v>0</v>
      </c>
      <c r="N87" s="9">
        <f t="shared" si="47"/>
        <v>0</v>
      </c>
      <c r="O87" s="9">
        <f t="shared" si="47"/>
        <v>0</v>
      </c>
      <c r="P87" s="9">
        <f t="shared" si="47"/>
        <v>0</v>
      </c>
      <c r="Q87" s="9">
        <f t="shared" si="47"/>
        <v>0</v>
      </c>
      <c r="R87" s="10">
        <f t="shared" si="47"/>
        <v>0</v>
      </c>
      <c r="S87" s="11">
        <f t="shared" si="47"/>
        <v>0</v>
      </c>
      <c r="T87" s="9">
        <f t="shared" si="47"/>
        <v>0</v>
      </c>
      <c r="U87" s="9">
        <f t="shared" si="47"/>
        <v>0</v>
      </c>
      <c r="V87" s="9">
        <f t="shared" si="47"/>
        <v>0</v>
      </c>
      <c r="W87" s="9">
        <f t="shared" si="47"/>
        <v>0</v>
      </c>
      <c r="X87" s="9">
        <f t="shared" si="47"/>
        <v>0</v>
      </c>
      <c r="Y87" s="9">
        <f t="shared" si="47"/>
        <v>0</v>
      </c>
      <c r="Z87" s="9">
        <f t="shared" si="47"/>
        <v>0</v>
      </c>
      <c r="AA87" s="9">
        <f t="shared" si="47"/>
        <v>0</v>
      </c>
      <c r="AB87" s="9">
        <f t="shared" si="47"/>
        <v>0</v>
      </c>
      <c r="AC87" s="9">
        <f t="shared" si="47"/>
        <v>0</v>
      </c>
      <c r="AD87" s="10">
        <f t="shared" si="47"/>
        <v>0</v>
      </c>
      <c r="AE87" s="143"/>
      <c r="AF87" s="143">
        <f t="shared" ref="AF87:AN87" si="48">SUMPRODUCT(($A$85:$A$86),(AF85:AF86))</f>
        <v>0</v>
      </c>
      <c r="AG87" s="9">
        <f t="shared" si="48"/>
        <v>0</v>
      </c>
      <c r="AH87" s="9">
        <f t="shared" si="48"/>
        <v>0</v>
      </c>
      <c r="AI87" s="9">
        <f t="shared" si="48"/>
        <v>0</v>
      </c>
      <c r="AJ87" s="9">
        <f t="shared" si="48"/>
        <v>0</v>
      </c>
      <c r="AK87" s="9">
        <f t="shared" si="48"/>
        <v>0</v>
      </c>
      <c r="AL87" s="9">
        <f t="shared" si="48"/>
        <v>0</v>
      </c>
      <c r="AM87" s="9">
        <f t="shared" si="48"/>
        <v>0</v>
      </c>
      <c r="AN87" s="14">
        <f t="shared" si="48"/>
        <v>0</v>
      </c>
      <c r="AO87" s="14"/>
      <c r="AP87" s="19">
        <f>SUM(G87:AD87)</f>
        <v>0</v>
      </c>
      <c r="AQ87" s="106">
        <f>COUNT(G87:AN87)</f>
        <v>33</v>
      </c>
      <c r="AR87" s="18">
        <f t="shared" ref="AR87" si="49">AP87/AQ87</f>
        <v>0</v>
      </c>
      <c r="AS87" s="49"/>
    </row>
    <row r="88" spans="1:45" s="23" customFormat="1" ht="6" customHeight="1" thickBot="1" x14ac:dyDescent="0.25">
      <c r="A88" s="43"/>
      <c r="C88" s="44"/>
      <c r="D88" s="44"/>
      <c r="E88" s="44"/>
      <c r="F88" s="45"/>
      <c r="G88" s="46"/>
      <c r="H88"/>
      <c r="I88"/>
      <c r="J88"/>
      <c r="K88"/>
      <c r="L88"/>
      <c r="M88"/>
      <c r="N88"/>
      <c r="O88"/>
      <c r="P88" s="46"/>
      <c r="Q88" s="46"/>
      <c r="R88" s="46"/>
      <c r="S88" s="46"/>
      <c r="T88" s="46"/>
      <c r="U88" s="46"/>
      <c r="V88" s="46"/>
      <c r="W88" s="46"/>
      <c r="X88" s="46"/>
      <c r="Y88" s="46"/>
      <c r="Z88"/>
      <c r="AA88"/>
      <c r="AB88"/>
      <c r="AC88"/>
      <c r="AD88"/>
      <c r="AE88"/>
      <c r="AF88"/>
      <c r="AG88"/>
      <c r="AH88"/>
      <c r="AI88"/>
      <c r="AJ88"/>
      <c r="AK88"/>
      <c r="AL88"/>
      <c r="AM88"/>
      <c r="AN88"/>
      <c r="AO88"/>
      <c r="AP88" s="47"/>
      <c r="AQ88" s="48"/>
      <c r="AR88" s="48"/>
    </row>
    <row r="89" spans="1:45" s="23" customFormat="1" ht="16" thickBot="1" x14ac:dyDescent="0.25">
      <c r="A89"/>
      <c r="C89" s="319"/>
      <c r="D89" s="320"/>
      <c r="E89" s="321"/>
      <c r="F89" s="100"/>
      <c r="G89" s="102">
        <f t="shared" ref="G89:AD89" si="50">SUM(G69+G82+G87)</f>
        <v>51704.68822170901</v>
      </c>
      <c r="H89" s="101">
        <f t="shared" si="50"/>
        <v>47547.782909930713</v>
      </c>
      <c r="I89" s="101">
        <f t="shared" si="50"/>
        <v>35292.344110854501</v>
      </c>
      <c r="J89" s="101">
        <f t="shared" si="50"/>
        <v>24662.886836027712</v>
      </c>
      <c r="K89" s="101">
        <f t="shared" si="50"/>
        <v>17298.314087759813</v>
      </c>
      <c r="L89" s="101">
        <f t="shared" si="50"/>
        <v>13932.090069284064</v>
      </c>
      <c r="M89" s="101">
        <f t="shared" si="50"/>
        <v>18661.107367205546</v>
      </c>
      <c r="N89" s="101">
        <f t="shared" si="50"/>
        <v>18661.107367205546</v>
      </c>
      <c r="O89" s="101">
        <f t="shared" si="50"/>
        <v>22681.500866050807</v>
      </c>
      <c r="P89" s="101">
        <f t="shared" si="50"/>
        <v>17699.964924942265</v>
      </c>
      <c r="Q89" s="101">
        <f t="shared" si="50"/>
        <v>12045.600346420324</v>
      </c>
      <c r="R89" s="103">
        <f t="shared" si="50"/>
        <v>17195.620357967669</v>
      </c>
      <c r="S89" s="102">
        <f t="shared" si="50"/>
        <v>10649.145357967667</v>
      </c>
      <c r="T89" s="101">
        <f t="shared" si="50"/>
        <v>10112.305334872981</v>
      </c>
      <c r="U89" s="101">
        <f t="shared" si="50"/>
        <v>10649.145357967667</v>
      </c>
      <c r="V89" s="101">
        <f t="shared" si="50"/>
        <v>8823.4395496535799</v>
      </c>
      <c r="W89" s="101">
        <f t="shared" si="50"/>
        <v>10539.950034642032</v>
      </c>
      <c r="X89" s="101">
        <f t="shared" si="50"/>
        <v>13173.43954965358</v>
      </c>
      <c r="Y89" s="101">
        <f t="shared" si="50"/>
        <v>14475.541286374133</v>
      </c>
      <c r="Z89" s="101">
        <f t="shared" si="50"/>
        <v>14475.541286374133</v>
      </c>
      <c r="AA89" s="101">
        <f t="shared" si="50"/>
        <v>14248.205277136258</v>
      </c>
      <c r="AB89" s="101">
        <f t="shared" si="50"/>
        <v>12975.541286374133</v>
      </c>
      <c r="AC89" s="101">
        <f t="shared" si="50"/>
        <v>11248.205277136258</v>
      </c>
      <c r="AD89" s="103">
        <f t="shared" si="50"/>
        <v>10725.541286374133</v>
      </c>
      <c r="AE89" s="152"/>
      <c r="AF89" s="101">
        <f t="shared" ref="AF89:AN89" si="51">SUM(AF69+AF82+AF87)</f>
        <v>10725.541286374133</v>
      </c>
      <c r="AG89" s="101">
        <f t="shared" si="51"/>
        <v>10043.533258660507</v>
      </c>
      <c r="AH89" s="101">
        <f t="shared" si="51"/>
        <v>10725.541286374133</v>
      </c>
      <c r="AI89" s="101">
        <f t="shared" si="51"/>
        <v>10498.205277136258</v>
      </c>
      <c r="AJ89" s="101">
        <f t="shared" si="51"/>
        <v>10125.541286374133</v>
      </c>
      <c r="AK89" s="101">
        <f t="shared" si="51"/>
        <v>10648.205277136258</v>
      </c>
      <c r="AL89" s="101">
        <f t="shared" si="51"/>
        <v>14592.782483256353</v>
      </c>
      <c r="AM89" s="101">
        <f t="shared" si="51"/>
        <v>16451.403081697459</v>
      </c>
      <c r="AN89" s="101">
        <f t="shared" si="51"/>
        <v>46648.205277136265</v>
      </c>
      <c r="AO89" s="104"/>
      <c r="AP89" s="105">
        <f>SUM(G89:AN89)</f>
        <v>579937.96686402999</v>
      </c>
      <c r="AQ89" s="105">
        <f>COUNT(G89:AO89)</f>
        <v>33</v>
      </c>
      <c r="AR89" s="154">
        <f t="shared" ref="AR89" si="52">AP89/AQ89</f>
        <v>17573.877783758486</v>
      </c>
      <c r="AS89" s="49"/>
    </row>
    <row r="90" spans="1:45" s="23" customFormat="1" x14ac:dyDescent="0.2">
      <c r="A90" s="3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147">
        <f>SUM(AP87+AP82+AP69)</f>
        <v>579937.96686402999</v>
      </c>
      <c r="AQ90" s="22" t="str">
        <f>IF(AP90=AP89,"OK","ERROR")</f>
        <v>OK</v>
      </c>
      <c r="AR90" s="22"/>
    </row>
    <row r="91" spans="1:45" x14ac:dyDescent="0.2">
      <c r="D91" s="170" t="s">
        <v>62</v>
      </c>
      <c r="I91" s="170" t="s">
        <v>102</v>
      </c>
      <c r="N91" s="170"/>
    </row>
    <row r="92" spans="1:45" s="23" customFormat="1" x14ac:dyDescent="0.2">
      <c r="A92" s="32"/>
      <c r="D92" s="196"/>
      <c r="E92" s="190" t="s">
        <v>40</v>
      </c>
      <c r="F92" s="300" t="s">
        <v>63</v>
      </c>
      <c r="G92" s="300"/>
      <c r="H92" s="68"/>
      <c r="I92" s="391"/>
      <c r="J92" s="392"/>
      <c r="K92" s="392"/>
      <c r="L92" s="392"/>
      <c r="M92" s="392"/>
      <c r="N92" s="393"/>
      <c r="O92" s="301" t="s">
        <v>101</v>
      </c>
      <c r="P92" s="302"/>
      <c r="Q92" s="378" t="s">
        <v>61</v>
      </c>
      <c r="R92" s="378"/>
      <c r="S92" s="378"/>
      <c r="T92" s="378"/>
      <c r="U92" s="378"/>
      <c r="V92" s="378"/>
      <c r="W92" s="378"/>
      <c r="X92" s="378"/>
      <c r="Y92" s="378"/>
      <c r="Z92" s="378"/>
      <c r="AA92" s="378"/>
      <c r="AB92" s="378"/>
      <c r="AC92" s="378"/>
      <c r="AD92" s="378"/>
      <c r="AE92" s="378"/>
      <c r="AF92" s="378"/>
      <c r="AG92" s="378"/>
      <c r="AH92" s="378"/>
      <c r="AI92" s="22"/>
      <c r="AJ92" s="22"/>
      <c r="AK92" s="22"/>
      <c r="AL92" s="22"/>
      <c r="AM92" s="22"/>
    </row>
    <row r="93" spans="1:45" s="23" customFormat="1" x14ac:dyDescent="0.2">
      <c r="A93" s="32"/>
      <c r="C93" s="22"/>
      <c r="D93" s="194" t="s">
        <v>65</v>
      </c>
      <c r="E93" s="191">
        <f>AF39-E94</f>
        <v>182579.04082151107</v>
      </c>
      <c r="F93" s="298">
        <f>AP89</f>
        <v>579937.96686402999</v>
      </c>
      <c r="G93" s="298"/>
      <c r="H93" s="32"/>
      <c r="I93" s="391" t="s">
        <v>103</v>
      </c>
      <c r="J93" s="392"/>
      <c r="K93" s="392"/>
      <c r="L93" s="392"/>
      <c r="M93" s="392"/>
      <c r="N93" s="393"/>
      <c r="O93" s="389">
        <f>F44*0.005</f>
        <v>187500</v>
      </c>
      <c r="P93" s="390"/>
      <c r="Q93" s="291" t="s">
        <v>111</v>
      </c>
      <c r="R93" s="291"/>
      <c r="S93" s="291"/>
      <c r="T93" s="291"/>
      <c r="U93" s="291"/>
      <c r="V93" s="291"/>
      <c r="W93" s="291"/>
      <c r="X93" s="291"/>
      <c r="Y93" s="291"/>
      <c r="Z93" s="291"/>
      <c r="AA93" s="291"/>
      <c r="AB93" s="291"/>
      <c r="AC93" s="291"/>
      <c r="AD93" s="291"/>
      <c r="AE93" s="291"/>
      <c r="AF93" s="291"/>
      <c r="AG93" s="291"/>
      <c r="AH93" s="291"/>
      <c r="AI93" s="22"/>
      <c r="AJ93" s="22"/>
      <c r="AK93" s="22"/>
      <c r="AL93" s="22"/>
      <c r="AM93" s="22"/>
    </row>
    <row r="94" spans="1:45" s="23" customFormat="1" x14ac:dyDescent="0.2">
      <c r="A94" s="32"/>
      <c r="C94" s="22"/>
      <c r="D94" s="194" t="s">
        <v>64</v>
      </c>
      <c r="E94" s="205">
        <f>AF37</f>
        <v>7200</v>
      </c>
      <c r="F94" s="298">
        <v>0</v>
      </c>
      <c r="G94" s="298"/>
      <c r="H94" s="32"/>
      <c r="I94" s="391" t="s">
        <v>100</v>
      </c>
      <c r="J94" s="392"/>
      <c r="K94" s="392"/>
      <c r="L94" s="392"/>
      <c r="M94" s="392"/>
      <c r="N94" s="393"/>
      <c r="O94" s="389"/>
      <c r="P94" s="390"/>
      <c r="Q94" s="291"/>
      <c r="R94" s="291"/>
      <c r="S94" s="291"/>
      <c r="T94" s="291"/>
      <c r="U94" s="291"/>
      <c r="V94" s="291"/>
      <c r="W94" s="291"/>
      <c r="X94" s="291"/>
      <c r="Y94" s="291"/>
      <c r="Z94" s="291"/>
      <c r="AA94" s="291"/>
      <c r="AB94" s="291"/>
      <c r="AC94" s="291"/>
      <c r="AD94" s="291"/>
      <c r="AE94" s="291"/>
      <c r="AF94" s="291"/>
      <c r="AG94" s="291"/>
      <c r="AH94" s="291"/>
      <c r="AI94" s="22"/>
      <c r="AJ94" s="22"/>
      <c r="AK94" s="22"/>
      <c r="AL94" s="22"/>
      <c r="AM94" s="22"/>
    </row>
    <row r="95" spans="1:45" s="23" customFormat="1" x14ac:dyDescent="0.2">
      <c r="A95" s="32"/>
      <c r="C95" s="22"/>
      <c r="D95" s="198" t="s">
        <v>71</v>
      </c>
      <c r="E95" s="193">
        <f>SUM(E93:E94)</f>
        <v>189779.04082151107</v>
      </c>
      <c r="F95" s="297">
        <f>SUM(F93:G94)</f>
        <v>579937.96686402999</v>
      </c>
      <c r="G95" s="297"/>
      <c r="H95" s="32"/>
      <c r="I95" s="394" t="s">
        <v>104</v>
      </c>
      <c r="J95" s="395"/>
      <c r="K95" s="395"/>
      <c r="L95" s="395"/>
      <c r="M95" s="395"/>
      <c r="N95" s="396"/>
      <c r="O95" s="389">
        <f>(F44*5)*0.04*0.01</f>
        <v>75000</v>
      </c>
      <c r="P95" s="390"/>
      <c r="Q95" s="291" t="s">
        <v>112</v>
      </c>
      <c r="R95" s="291"/>
      <c r="S95" s="291"/>
      <c r="T95" s="291"/>
      <c r="U95" s="291"/>
      <c r="V95" s="291"/>
      <c r="W95" s="291"/>
      <c r="X95" s="291"/>
      <c r="Y95" s="291"/>
      <c r="Z95" s="291"/>
      <c r="AA95" s="291"/>
      <c r="AB95" s="291"/>
      <c r="AC95" s="291"/>
      <c r="AD95" s="291"/>
      <c r="AE95" s="291"/>
      <c r="AF95" s="291"/>
      <c r="AG95" s="291"/>
      <c r="AH95" s="291"/>
      <c r="AI95" s="22"/>
      <c r="AJ95" s="22"/>
      <c r="AK95" s="22"/>
      <c r="AL95" s="22"/>
      <c r="AM95" s="22"/>
    </row>
    <row r="96" spans="1:45" s="23" customFormat="1" x14ac:dyDescent="0.2">
      <c r="A96" s="32"/>
      <c r="C96" s="22"/>
      <c r="D96" s="194" t="s">
        <v>66</v>
      </c>
      <c r="E96" s="197">
        <f>SUM(E93:E94)/$F$1</f>
        <v>2530.3872109534809</v>
      </c>
      <c r="F96" s="298">
        <f>SUM(F93:G94)/$F$1</f>
        <v>7732.5062248537333</v>
      </c>
      <c r="G96" s="298"/>
      <c r="H96" s="32"/>
      <c r="I96" s="394" t="s">
        <v>105</v>
      </c>
      <c r="J96" s="395"/>
      <c r="K96" s="395"/>
      <c r="L96" s="395"/>
      <c r="M96" s="395"/>
      <c r="N96" s="396"/>
      <c r="O96" s="389">
        <f>((F44*5)*0.04)*0.05</f>
        <v>375000</v>
      </c>
      <c r="P96" s="390"/>
      <c r="Q96" s="291" t="s">
        <v>113</v>
      </c>
      <c r="R96" s="291"/>
      <c r="S96" s="291"/>
      <c r="T96" s="291"/>
      <c r="U96" s="291"/>
      <c r="V96" s="291"/>
      <c r="W96" s="291"/>
      <c r="X96" s="291"/>
      <c r="Y96" s="291"/>
      <c r="Z96" s="291"/>
      <c r="AA96" s="291"/>
      <c r="AB96" s="291"/>
      <c r="AC96" s="291"/>
      <c r="AD96" s="291"/>
      <c r="AE96" s="291"/>
      <c r="AF96" s="291"/>
      <c r="AG96" s="291"/>
      <c r="AH96" s="291"/>
      <c r="AI96" s="22"/>
      <c r="AJ96" s="22"/>
      <c r="AK96" s="22"/>
      <c r="AL96" s="22"/>
      <c r="AM96" s="22"/>
    </row>
    <row r="97" spans="1:44" s="23" customFormat="1" x14ac:dyDescent="0.2">
      <c r="A97" s="32"/>
      <c r="C97" s="22"/>
      <c r="D97" s="194" t="s">
        <v>72</v>
      </c>
      <c r="E97" s="197">
        <f>E95-F95</f>
        <v>-390158.92604251893</v>
      </c>
      <c r="F97" s="298">
        <v>0</v>
      </c>
      <c r="G97" s="298"/>
      <c r="H97" s="32"/>
      <c r="I97" s="391" t="s">
        <v>106</v>
      </c>
      <c r="J97" s="392"/>
      <c r="K97" s="392"/>
      <c r="L97" s="392"/>
      <c r="M97" s="392"/>
      <c r="N97" s="393"/>
      <c r="O97" s="389">
        <f>((F44*5)*0.04)*0.03</f>
        <v>225000</v>
      </c>
      <c r="P97" s="390"/>
      <c r="Q97" s="291" t="s">
        <v>114</v>
      </c>
      <c r="R97" s="291"/>
      <c r="S97" s="291"/>
      <c r="T97" s="291"/>
      <c r="U97" s="291"/>
      <c r="V97" s="291"/>
      <c r="W97" s="291"/>
      <c r="X97" s="291"/>
      <c r="Y97" s="291"/>
      <c r="Z97" s="291"/>
      <c r="AA97" s="291"/>
      <c r="AB97" s="291"/>
      <c r="AC97" s="291"/>
      <c r="AD97" s="291"/>
      <c r="AE97" s="291"/>
      <c r="AF97" s="291"/>
      <c r="AG97" s="291"/>
      <c r="AH97" s="291"/>
      <c r="AI97" s="22"/>
      <c r="AJ97" s="22"/>
      <c r="AK97" s="22"/>
      <c r="AL97" s="22"/>
      <c r="AM97" s="22"/>
    </row>
    <row r="98" spans="1:44" s="23" customFormat="1" x14ac:dyDescent="0.2">
      <c r="A98" s="32"/>
      <c r="C98" s="22"/>
      <c r="D98" s="198" t="s">
        <v>70</v>
      </c>
      <c r="E98" s="199">
        <f>F96-E96</f>
        <v>5202.119013900252</v>
      </c>
      <c r="F98" s="297">
        <v>0</v>
      </c>
      <c r="G98" s="297"/>
      <c r="H98" s="32"/>
      <c r="I98" s="391" t="s">
        <v>107</v>
      </c>
      <c r="J98" s="392"/>
      <c r="K98" s="392"/>
      <c r="L98" s="392"/>
      <c r="M98" s="392"/>
      <c r="N98" s="393"/>
      <c r="O98" s="389">
        <f>(F44*0.04)/24*12</f>
        <v>750000</v>
      </c>
      <c r="P98" s="390"/>
      <c r="Q98" s="291" t="s">
        <v>115</v>
      </c>
      <c r="R98" s="291"/>
      <c r="S98" s="291"/>
      <c r="T98" s="291"/>
      <c r="U98" s="291"/>
      <c r="V98" s="291"/>
      <c r="W98" s="291"/>
      <c r="X98" s="291"/>
      <c r="Y98" s="291"/>
      <c r="Z98" s="291"/>
      <c r="AA98" s="291"/>
      <c r="AB98" s="291"/>
      <c r="AC98" s="291"/>
      <c r="AD98" s="291"/>
      <c r="AE98" s="291"/>
      <c r="AF98" s="291"/>
      <c r="AG98" s="291"/>
      <c r="AH98" s="291"/>
      <c r="AI98" s="22"/>
      <c r="AJ98" s="22"/>
      <c r="AK98" s="22"/>
      <c r="AL98" s="22"/>
      <c r="AM98" s="22"/>
    </row>
    <row r="99" spans="1:44" s="23" customFormat="1" x14ac:dyDescent="0.2">
      <c r="A99" s="32"/>
      <c r="C99" s="22"/>
      <c r="D99" s="194" t="s">
        <v>68</v>
      </c>
      <c r="E99" s="192">
        <f>SUM(E93:E94)/(F2*0.04)</f>
        <v>0.12651936054767404</v>
      </c>
      <c r="F99" s="296">
        <f>SUM(F93:G94)/(F2*0.04)</f>
        <v>0.38662531124268668</v>
      </c>
      <c r="G99" s="296"/>
      <c r="H99" s="166"/>
      <c r="I99" s="391" t="s">
        <v>108</v>
      </c>
      <c r="J99" s="392"/>
      <c r="K99" s="392"/>
      <c r="L99" s="392"/>
      <c r="M99" s="392"/>
      <c r="N99" s="393"/>
      <c r="O99" s="389">
        <f>(AVERAGE(E62:E68)*52)</f>
        <v>241550.42802155501</v>
      </c>
      <c r="P99" s="390"/>
      <c r="Q99" s="291" t="s">
        <v>116</v>
      </c>
      <c r="R99" s="291"/>
      <c r="S99" s="291"/>
      <c r="T99" s="291"/>
      <c r="U99" s="291"/>
      <c r="V99" s="291"/>
      <c r="W99" s="291"/>
      <c r="X99" s="291"/>
      <c r="Y99" s="291"/>
      <c r="Z99" s="291"/>
      <c r="AA99" s="291"/>
      <c r="AB99" s="291"/>
      <c r="AC99" s="291"/>
      <c r="AD99" s="291"/>
      <c r="AE99" s="291"/>
      <c r="AF99" s="291"/>
      <c r="AG99" s="291"/>
      <c r="AH99" s="291"/>
      <c r="AI99" s="22"/>
      <c r="AJ99" s="22"/>
      <c r="AK99" s="22"/>
      <c r="AL99" s="22"/>
      <c r="AM99" s="22"/>
    </row>
    <row r="100" spans="1:44" s="23" customFormat="1" x14ac:dyDescent="0.2">
      <c r="A100" s="32"/>
      <c r="C100" s="22"/>
      <c r="D100" s="194" t="s">
        <v>69</v>
      </c>
      <c r="E100" s="195">
        <f>SUM(E93:E94)/$F$2</f>
        <v>5.0607744219069621E-3</v>
      </c>
      <c r="F100" s="290">
        <f>SUM(F93:G94)/$F$2</f>
        <v>1.5465012449707466E-2</v>
      </c>
      <c r="G100" s="290"/>
      <c r="H100" s="32"/>
      <c r="I100" s="391" t="s">
        <v>109</v>
      </c>
      <c r="J100" s="392"/>
      <c r="K100" s="392"/>
      <c r="L100" s="392"/>
      <c r="M100" s="392"/>
      <c r="N100" s="393"/>
      <c r="O100" s="389">
        <f>((F44*5)*0.75)/5*0.02</f>
        <v>562500</v>
      </c>
      <c r="P100" s="390"/>
      <c r="Q100" s="291" t="s">
        <v>117</v>
      </c>
      <c r="R100" s="291"/>
      <c r="S100" s="291"/>
      <c r="T100" s="291"/>
      <c r="U100" s="291"/>
      <c r="V100" s="291"/>
      <c r="W100" s="291"/>
      <c r="X100" s="291"/>
      <c r="Y100" s="291"/>
      <c r="Z100" s="291"/>
      <c r="AA100" s="291"/>
      <c r="AB100" s="291"/>
      <c r="AC100" s="291"/>
      <c r="AD100" s="291"/>
      <c r="AE100" s="291"/>
      <c r="AF100" s="291"/>
      <c r="AG100" s="291"/>
      <c r="AH100" s="291"/>
      <c r="AI100" s="22"/>
      <c r="AJ100" s="22"/>
      <c r="AK100" s="22"/>
      <c r="AL100" s="22"/>
      <c r="AM100" s="22"/>
    </row>
    <row r="101" spans="1:44" s="23" customFormat="1" x14ac:dyDescent="0.2">
      <c r="A101" s="32"/>
      <c r="C101" s="22"/>
      <c r="D101" s="22"/>
      <c r="E101" s="22"/>
      <c r="F101" s="187"/>
      <c r="G101" s="187"/>
      <c r="H101" s="187"/>
      <c r="I101" s="188"/>
      <c r="J101" s="188"/>
      <c r="K101" s="188"/>
      <c r="L101" s="188"/>
      <c r="M101" s="32"/>
      <c r="N101" s="187"/>
      <c r="O101" s="187"/>
      <c r="P101" s="187"/>
      <c r="Q101" s="187"/>
      <c r="R101" s="187"/>
      <c r="S101" s="187"/>
      <c r="T101" s="189"/>
      <c r="U101" s="189"/>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row>
    <row r="102" spans="1:44" x14ac:dyDescent="0.2">
      <c r="D102" s="170" t="s">
        <v>110</v>
      </c>
      <c r="F102" s="288"/>
      <c r="G102" s="288"/>
      <c r="H102" s="288"/>
      <c r="I102" s="289"/>
      <c r="J102" s="289"/>
      <c r="K102" s="32"/>
      <c r="L102" s="289"/>
      <c r="M102" s="289"/>
      <c r="AN102"/>
    </row>
    <row r="103" spans="1:44" x14ac:dyDescent="0.2">
      <c r="D103" s="295"/>
      <c r="E103" s="295"/>
      <c r="F103" s="182">
        <v>44927</v>
      </c>
      <c r="G103" s="182">
        <v>44958</v>
      </c>
      <c r="H103" s="182">
        <v>44986</v>
      </c>
      <c r="I103" s="182">
        <v>45017</v>
      </c>
      <c r="J103" s="182">
        <v>45047</v>
      </c>
      <c r="K103" s="182">
        <v>45078</v>
      </c>
      <c r="L103" s="182">
        <v>45108</v>
      </c>
      <c r="M103" s="182">
        <v>45139</v>
      </c>
      <c r="N103" s="182">
        <v>45170</v>
      </c>
      <c r="O103" s="182">
        <v>45200</v>
      </c>
      <c r="P103" s="182">
        <v>45231</v>
      </c>
      <c r="Q103" s="182">
        <v>45261</v>
      </c>
      <c r="R103" s="182">
        <v>45292</v>
      </c>
      <c r="S103" s="182">
        <v>45323</v>
      </c>
      <c r="T103" s="182">
        <v>45352</v>
      </c>
      <c r="U103" s="182">
        <v>45383</v>
      </c>
      <c r="V103" s="182">
        <v>45413</v>
      </c>
      <c r="W103" s="182">
        <v>45444</v>
      </c>
      <c r="X103" s="182">
        <v>45474</v>
      </c>
      <c r="Y103" s="182">
        <v>45505</v>
      </c>
      <c r="Z103" s="182">
        <v>45536</v>
      </c>
      <c r="AA103" s="182">
        <v>45566</v>
      </c>
      <c r="AB103" s="182">
        <v>45597</v>
      </c>
      <c r="AC103" s="182">
        <v>45627</v>
      </c>
      <c r="AD103" s="182">
        <v>45658</v>
      </c>
      <c r="AF103" s="182">
        <v>45689</v>
      </c>
      <c r="AG103" s="182">
        <v>45717</v>
      </c>
      <c r="AH103" s="182">
        <v>45748</v>
      </c>
      <c r="AI103" s="182">
        <v>45778</v>
      </c>
      <c r="AJ103" s="182">
        <v>45809</v>
      </c>
      <c r="AK103" s="182">
        <v>45839</v>
      </c>
      <c r="AL103" s="182">
        <v>45870</v>
      </c>
      <c r="AM103" s="182">
        <v>45901</v>
      </c>
      <c r="AN103"/>
    </row>
    <row r="104" spans="1:44" x14ac:dyDescent="0.2">
      <c r="D104" s="292" t="s">
        <v>97</v>
      </c>
      <c r="E104" s="292"/>
      <c r="F104" s="183">
        <f t="shared" ref="F104:AC104" si="53">G39</f>
        <v>24094.889475420652</v>
      </c>
      <c r="G104" s="183">
        <f t="shared" si="53"/>
        <v>20400</v>
      </c>
      <c r="H104" s="183">
        <f t="shared" si="53"/>
        <v>22907.142857142859</v>
      </c>
      <c r="I104" s="183">
        <f t="shared" si="53"/>
        <v>22146.428571428572</v>
      </c>
      <c r="J104" s="183">
        <f t="shared" si="53"/>
        <v>12053.571428571429</v>
      </c>
      <c r="K104" s="183">
        <f t="shared" si="53"/>
        <v>12385.714285714286</v>
      </c>
      <c r="L104" s="183">
        <f t="shared" si="53"/>
        <v>7605.0000000000009</v>
      </c>
      <c r="M104" s="183">
        <f t="shared" si="53"/>
        <v>6855.0000000000009</v>
      </c>
      <c r="N104" s="183">
        <f t="shared" si="53"/>
        <v>6225.0000000000009</v>
      </c>
      <c r="O104" s="183">
        <f t="shared" si="53"/>
        <v>6705.0000000000009</v>
      </c>
      <c r="P104" s="183">
        <f t="shared" si="53"/>
        <v>6375.0000000000009</v>
      </c>
      <c r="Q104" s="183">
        <f t="shared" si="53"/>
        <v>11289.494203233258</v>
      </c>
      <c r="R104" s="183">
        <f t="shared" si="53"/>
        <v>2832</v>
      </c>
      <c r="S104" s="183">
        <f t="shared" si="53"/>
        <v>2688</v>
      </c>
      <c r="T104" s="183">
        <f t="shared" si="53"/>
        <v>2832</v>
      </c>
      <c r="U104" s="183">
        <f t="shared" si="53"/>
        <v>2760</v>
      </c>
      <c r="V104" s="183">
        <f t="shared" si="53"/>
        <v>2832</v>
      </c>
      <c r="W104" s="183">
        <f t="shared" si="53"/>
        <v>2760</v>
      </c>
      <c r="X104" s="183">
        <f t="shared" si="53"/>
        <v>2943.6000000000004</v>
      </c>
      <c r="Y104" s="183">
        <f t="shared" si="53"/>
        <v>2943.6000000000004</v>
      </c>
      <c r="Z104" s="183">
        <f t="shared" si="53"/>
        <v>2868</v>
      </c>
      <c r="AA104" s="183">
        <f t="shared" si="53"/>
        <v>1771.8000000000002</v>
      </c>
      <c r="AB104" s="183">
        <f t="shared" si="53"/>
        <v>1734</v>
      </c>
      <c r="AC104" s="183">
        <f t="shared" si="53"/>
        <v>1771.8000000000002</v>
      </c>
      <c r="AD104" s="184"/>
      <c r="AF104" s="184"/>
      <c r="AG104" s="184"/>
      <c r="AH104" s="184"/>
      <c r="AI104" s="184"/>
      <c r="AJ104" s="184"/>
      <c r="AK104" s="184"/>
      <c r="AL104" s="184"/>
      <c r="AM104" s="184"/>
      <c r="AN104"/>
    </row>
    <row r="105" spans="1:44" ht="15" customHeight="1" x14ac:dyDescent="0.2">
      <c r="D105" s="293" t="s">
        <v>98</v>
      </c>
      <c r="E105" s="293"/>
      <c r="F105" s="186">
        <f>F104</f>
        <v>24094.889475420652</v>
      </c>
      <c r="G105" s="186">
        <f>F105+G104</f>
        <v>44494.889475420656</v>
      </c>
      <c r="H105" s="186">
        <f t="shared" ref="H105:AC105" si="54">G105+H104</f>
        <v>67402.032332563511</v>
      </c>
      <c r="I105" s="186">
        <f t="shared" si="54"/>
        <v>89548.460903992091</v>
      </c>
      <c r="J105" s="186">
        <f t="shared" si="54"/>
        <v>101602.03233256353</v>
      </c>
      <c r="K105" s="186">
        <f t="shared" si="54"/>
        <v>113987.74661827782</v>
      </c>
      <c r="L105" s="186">
        <f t="shared" si="54"/>
        <v>121592.74661827782</v>
      </c>
      <c r="M105" s="186">
        <f t="shared" si="54"/>
        <v>128447.74661827782</v>
      </c>
      <c r="N105" s="186">
        <f t="shared" si="54"/>
        <v>134672.74661827783</v>
      </c>
      <c r="O105" s="186">
        <f t="shared" si="54"/>
        <v>141377.74661827783</v>
      </c>
      <c r="P105" s="186">
        <f t="shared" si="54"/>
        <v>147752.74661827783</v>
      </c>
      <c r="Q105" s="186">
        <f t="shared" si="54"/>
        <v>159042.24082151108</v>
      </c>
      <c r="R105" s="186">
        <f t="shared" si="54"/>
        <v>161874.24082151108</v>
      </c>
      <c r="S105" s="186">
        <f t="shared" si="54"/>
        <v>164562.24082151108</v>
      </c>
      <c r="T105" s="186">
        <f t="shared" si="54"/>
        <v>167394.24082151108</v>
      </c>
      <c r="U105" s="186">
        <f t="shared" si="54"/>
        <v>170154.24082151108</v>
      </c>
      <c r="V105" s="186">
        <f t="shared" si="54"/>
        <v>172986.24082151108</v>
      </c>
      <c r="W105" s="186">
        <f t="shared" si="54"/>
        <v>175746.24082151108</v>
      </c>
      <c r="X105" s="186">
        <f t="shared" si="54"/>
        <v>178689.84082151108</v>
      </c>
      <c r="Y105" s="186">
        <f t="shared" si="54"/>
        <v>181633.44082151109</v>
      </c>
      <c r="Z105" s="186">
        <f t="shared" si="54"/>
        <v>184501.44082151109</v>
      </c>
      <c r="AA105" s="186">
        <f t="shared" si="54"/>
        <v>186273.24082151108</v>
      </c>
      <c r="AB105" s="186">
        <f t="shared" si="54"/>
        <v>188007.24082151108</v>
      </c>
      <c r="AC105" s="186">
        <f t="shared" si="54"/>
        <v>189779.04082151107</v>
      </c>
      <c r="AD105" s="186">
        <f t="shared" ref="AD105" si="55">AC105+AD104</f>
        <v>189779.04082151107</v>
      </c>
      <c r="AF105" s="186"/>
      <c r="AG105" s="186">
        <f t="shared" ref="AG105" si="56">AF105+AG104</f>
        <v>0</v>
      </c>
      <c r="AH105" s="186">
        <f t="shared" ref="AH105" si="57">AG105+AH104</f>
        <v>0</v>
      </c>
      <c r="AI105" s="186">
        <f t="shared" ref="AI105" si="58">AH105+AI104</f>
        <v>0</v>
      </c>
      <c r="AJ105" s="186">
        <f t="shared" ref="AJ105" si="59">AI105+AJ104</f>
        <v>0</v>
      </c>
      <c r="AK105" s="186">
        <f t="shared" ref="AK105" si="60">AJ105+AK104</f>
        <v>0</v>
      </c>
      <c r="AL105" s="186">
        <f t="shared" ref="AL105" si="61">AK105+AL104</f>
        <v>0</v>
      </c>
      <c r="AM105" s="186">
        <f t="shared" ref="AM105" si="62">AL105+AM104</f>
        <v>0</v>
      </c>
      <c r="AN105"/>
    </row>
    <row r="106" spans="1:44" x14ac:dyDescent="0.2">
      <c r="D106" s="292" t="s">
        <v>96</v>
      </c>
      <c r="E106" s="292"/>
      <c r="F106" s="183">
        <f t="shared" ref="F106:AC106" si="63">G89</f>
        <v>51704.68822170901</v>
      </c>
      <c r="G106" s="183">
        <f t="shared" si="63"/>
        <v>47547.782909930713</v>
      </c>
      <c r="H106" s="183">
        <f t="shared" si="63"/>
        <v>35292.344110854501</v>
      </c>
      <c r="I106" s="183">
        <f t="shared" si="63"/>
        <v>24662.886836027712</v>
      </c>
      <c r="J106" s="183">
        <f t="shared" si="63"/>
        <v>17298.314087759813</v>
      </c>
      <c r="K106" s="183">
        <f t="shared" si="63"/>
        <v>13932.090069284064</v>
      </c>
      <c r="L106" s="183">
        <f t="shared" si="63"/>
        <v>18661.107367205546</v>
      </c>
      <c r="M106" s="183">
        <f t="shared" si="63"/>
        <v>18661.107367205546</v>
      </c>
      <c r="N106" s="183">
        <f t="shared" si="63"/>
        <v>22681.500866050807</v>
      </c>
      <c r="O106" s="183">
        <f t="shared" si="63"/>
        <v>17699.964924942265</v>
      </c>
      <c r="P106" s="183">
        <f t="shared" si="63"/>
        <v>12045.600346420324</v>
      </c>
      <c r="Q106" s="183">
        <f t="shared" si="63"/>
        <v>17195.620357967669</v>
      </c>
      <c r="R106" s="183">
        <f t="shared" si="63"/>
        <v>10649.145357967667</v>
      </c>
      <c r="S106" s="183">
        <f t="shared" si="63"/>
        <v>10112.305334872981</v>
      </c>
      <c r="T106" s="183">
        <f t="shared" si="63"/>
        <v>10649.145357967667</v>
      </c>
      <c r="U106" s="183">
        <f t="shared" si="63"/>
        <v>8823.4395496535799</v>
      </c>
      <c r="V106" s="183">
        <f t="shared" si="63"/>
        <v>10539.950034642032</v>
      </c>
      <c r="W106" s="183">
        <f t="shared" si="63"/>
        <v>13173.43954965358</v>
      </c>
      <c r="X106" s="183">
        <f t="shared" si="63"/>
        <v>14475.541286374133</v>
      </c>
      <c r="Y106" s="183">
        <f t="shared" si="63"/>
        <v>14475.541286374133</v>
      </c>
      <c r="Z106" s="183">
        <f t="shared" si="63"/>
        <v>14248.205277136258</v>
      </c>
      <c r="AA106" s="183">
        <f t="shared" si="63"/>
        <v>12975.541286374133</v>
      </c>
      <c r="AB106" s="183">
        <f t="shared" si="63"/>
        <v>11248.205277136258</v>
      </c>
      <c r="AC106" s="183">
        <f t="shared" si="63"/>
        <v>10725.541286374133</v>
      </c>
      <c r="AD106" s="183">
        <f>AF89</f>
        <v>10725.541286374133</v>
      </c>
      <c r="AF106" s="183">
        <f t="shared" ref="AF106:AM106" si="64">AG89</f>
        <v>10043.533258660507</v>
      </c>
      <c r="AG106" s="183">
        <f t="shared" si="64"/>
        <v>10725.541286374133</v>
      </c>
      <c r="AH106" s="183">
        <f t="shared" si="64"/>
        <v>10498.205277136258</v>
      </c>
      <c r="AI106" s="183">
        <f t="shared" si="64"/>
        <v>10125.541286374133</v>
      </c>
      <c r="AJ106" s="183">
        <f t="shared" si="64"/>
        <v>10648.205277136258</v>
      </c>
      <c r="AK106" s="183">
        <f t="shared" si="64"/>
        <v>14592.782483256353</v>
      </c>
      <c r="AL106" s="183">
        <f t="shared" si="64"/>
        <v>16451.403081697459</v>
      </c>
      <c r="AM106" s="183">
        <f t="shared" si="64"/>
        <v>46648.205277136265</v>
      </c>
      <c r="AN106"/>
    </row>
    <row r="107" spans="1:44" ht="15" customHeight="1" x14ac:dyDescent="0.2">
      <c r="D107" s="294" t="s">
        <v>99</v>
      </c>
      <c r="E107" s="294"/>
      <c r="F107" s="185">
        <f>F106</f>
        <v>51704.68822170901</v>
      </c>
      <c r="G107" s="185">
        <f>F107+G106</f>
        <v>99252.47113163973</v>
      </c>
      <c r="H107" s="185">
        <f t="shared" ref="H107:AC107" si="65">G107+H106</f>
        <v>134544.81524249422</v>
      </c>
      <c r="I107" s="185">
        <f t="shared" si="65"/>
        <v>159207.70207852195</v>
      </c>
      <c r="J107" s="185">
        <f t="shared" si="65"/>
        <v>176506.01616628177</v>
      </c>
      <c r="K107" s="185">
        <f t="shared" si="65"/>
        <v>190438.10623556582</v>
      </c>
      <c r="L107" s="185">
        <f t="shared" si="65"/>
        <v>209099.21360277137</v>
      </c>
      <c r="M107" s="185">
        <f t="shared" si="65"/>
        <v>227760.32096997692</v>
      </c>
      <c r="N107" s="185">
        <f t="shared" si="65"/>
        <v>250441.82183602772</v>
      </c>
      <c r="O107" s="185">
        <f t="shared" si="65"/>
        <v>268141.78676097002</v>
      </c>
      <c r="P107" s="185">
        <f t="shared" si="65"/>
        <v>280187.38710739033</v>
      </c>
      <c r="Q107" s="185">
        <f t="shared" si="65"/>
        <v>297383.00746535801</v>
      </c>
      <c r="R107" s="185">
        <f t="shared" si="65"/>
        <v>308032.15282332565</v>
      </c>
      <c r="S107" s="185">
        <f t="shared" si="65"/>
        <v>318144.45815819863</v>
      </c>
      <c r="T107" s="185">
        <f t="shared" si="65"/>
        <v>328793.60351616627</v>
      </c>
      <c r="U107" s="185">
        <f t="shared" si="65"/>
        <v>337617.04306581983</v>
      </c>
      <c r="V107" s="185">
        <f t="shared" si="65"/>
        <v>348156.99310046184</v>
      </c>
      <c r="W107" s="185">
        <f t="shared" si="65"/>
        <v>361330.4326501154</v>
      </c>
      <c r="X107" s="185">
        <f t="shared" si="65"/>
        <v>375805.97393648955</v>
      </c>
      <c r="Y107" s="185">
        <f t="shared" si="65"/>
        <v>390281.5152228637</v>
      </c>
      <c r="Z107" s="185">
        <f t="shared" si="65"/>
        <v>404529.72049999994</v>
      </c>
      <c r="AA107" s="185">
        <f t="shared" si="65"/>
        <v>417505.26178637409</v>
      </c>
      <c r="AB107" s="185">
        <f t="shared" si="65"/>
        <v>428753.46706351032</v>
      </c>
      <c r="AC107" s="185">
        <f t="shared" si="65"/>
        <v>439479.00834988448</v>
      </c>
      <c r="AD107" s="185">
        <f t="shared" ref="AD107" si="66">AC107+AD106</f>
        <v>450204.54963625863</v>
      </c>
      <c r="AF107" s="185">
        <f>AD107+AF106</f>
        <v>460248.08289491915</v>
      </c>
      <c r="AG107" s="185">
        <f t="shared" ref="AG107" si="67">AF107+AG106</f>
        <v>470973.6241812933</v>
      </c>
      <c r="AH107" s="185">
        <f t="shared" ref="AH107" si="68">AG107+AH106</f>
        <v>481471.82945842954</v>
      </c>
      <c r="AI107" s="185">
        <f t="shared" ref="AI107" si="69">AH107+AI106</f>
        <v>491597.37074480369</v>
      </c>
      <c r="AJ107" s="185">
        <f t="shared" ref="AJ107" si="70">AI107+AJ106</f>
        <v>502245.57602193992</v>
      </c>
      <c r="AK107" s="185">
        <f t="shared" ref="AK107" si="71">AJ107+AK106</f>
        <v>516838.35850519629</v>
      </c>
      <c r="AL107" s="185">
        <f t="shared" ref="AL107" si="72">AK107+AL106</f>
        <v>533289.7615868937</v>
      </c>
      <c r="AM107" s="185">
        <f t="shared" ref="AM107" si="73">AL107+AM106</f>
        <v>579937.96686402999</v>
      </c>
      <c r="AN107"/>
    </row>
    <row r="108" spans="1:44" x14ac:dyDescent="0.2">
      <c r="AN108"/>
    </row>
  </sheetData>
  <mergeCells count="99">
    <mergeCell ref="Q94:AH94"/>
    <mergeCell ref="Q95:AH95"/>
    <mergeCell ref="Q96:AH96"/>
    <mergeCell ref="Q97:AH97"/>
    <mergeCell ref="Q98:AH98"/>
    <mergeCell ref="Q99:AH99"/>
    <mergeCell ref="Q100:AH100"/>
    <mergeCell ref="C4:F4"/>
    <mergeCell ref="G4:R4"/>
    <mergeCell ref="C5:F5"/>
    <mergeCell ref="G5:AD5"/>
    <mergeCell ref="C6:F11"/>
    <mergeCell ref="G6:K6"/>
    <mergeCell ref="G7:AD7"/>
    <mergeCell ref="K8:AD8"/>
    <mergeCell ref="S11:AD11"/>
    <mergeCell ref="C47:F47"/>
    <mergeCell ref="G47:AD47"/>
    <mergeCell ref="C13:F13"/>
    <mergeCell ref="G13:R13"/>
    <mergeCell ref="S13:AD13"/>
    <mergeCell ref="C14:F14"/>
    <mergeCell ref="C15:F15"/>
    <mergeCell ref="C24:E24"/>
    <mergeCell ref="C32:E32"/>
    <mergeCell ref="C37:E37"/>
    <mergeCell ref="C39:E39"/>
    <mergeCell ref="C46:F46"/>
    <mergeCell ref="G46:R46"/>
    <mergeCell ref="C48:F56"/>
    <mergeCell ref="G48:K48"/>
    <mergeCell ref="K49:O49"/>
    <mergeCell ref="M50:AN50"/>
    <mergeCell ref="Q51:U51"/>
    <mergeCell ref="U52:AN52"/>
    <mergeCell ref="V53:AC53"/>
    <mergeCell ref="Y54:AM54"/>
    <mergeCell ref="AM55:AN55"/>
    <mergeCell ref="AL56:AN56"/>
    <mergeCell ref="S58:AD58"/>
    <mergeCell ref="AF58:AO58"/>
    <mergeCell ref="C59:F59"/>
    <mergeCell ref="C60:F60"/>
    <mergeCell ref="C69:E69"/>
    <mergeCell ref="C89:E89"/>
    <mergeCell ref="F93:G93"/>
    <mergeCell ref="E75:F75"/>
    <mergeCell ref="C58:F58"/>
    <mergeCell ref="G58:R58"/>
    <mergeCell ref="E71:F71"/>
    <mergeCell ref="E72:F72"/>
    <mergeCell ref="E73:F73"/>
    <mergeCell ref="E74:F74"/>
    <mergeCell ref="Q92:AH92"/>
    <mergeCell ref="Q93:AH93"/>
    <mergeCell ref="E79:F79"/>
    <mergeCell ref="E80:F80"/>
    <mergeCell ref="E81:F81"/>
    <mergeCell ref="C82:E82"/>
    <mergeCell ref="C87:E87"/>
    <mergeCell ref="F102:H102"/>
    <mergeCell ref="I102:J102"/>
    <mergeCell ref="L102:M102"/>
    <mergeCell ref="F99:G99"/>
    <mergeCell ref="F100:G100"/>
    <mergeCell ref="D103:E103"/>
    <mergeCell ref="D104:E104"/>
    <mergeCell ref="D105:E105"/>
    <mergeCell ref="D106:E106"/>
    <mergeCell ref="D107:E107"/>
    <mergeCell ref="I100:N100"/>
    <mergeCell ref="O100:P100"/>
    <mergeCell ref="F97:G97"/>
    <mergeCell ref="F98:G98"/>
    <mergeCell ref="F95:G95"/>
    <mergeCell ref="F96:G96"/>
    <mergeCell ref="I98:N98"/>
    <mergeCell ref="I95:N95"/>
    <mergeCell ref="I97:N97"/>
    <mergeCell ref="O97:P97"/>
    <mergeCell ref="O98:P98"/>
    <mergeCell ref="I99:N99"/>
    <mergeCell ref="O99:P99"/>
    <mergeCell ref="C3:AG3"/>
    <mergeCell ref="C45:AI45"/>
    <mergeCell ref="O95:P95"/>
    <mergeCell ref="I96:N96"/>
    <mergeCell ref="O96:P96"/>
    <mergeCell ref="I92:N92"/>
    <mergeCell ref="O92:P92"/>
    <mergeCell ref="I93:N93"/>
    <mergeCell ref="O93:P93"/>
    <mergeCell ref="I94:N94"/>
    <mergeCell ref="O94:P94"/>
    <mergeCell ref="F94:G94"/>
    <mergeCell ref="F92:G92"/>
    <mergeCell ref="E76:F76"/>
    <mergeCell ref="E77:F77"/>
    <mergeCell ref="E78:F78"/>
  </mergeCells>
  <conditionalFormatting sqref="G34:AH34 G36:AH36 G35:AG35 AO78:AO80 AO72:AP77 AP78:AQ81 AQ75:AR77 AR78:AR80 G26:AH31 AF71:AN81 G72:AE80 G16:AH23 G64:AO67 AQ64:AR67 AP62:AP68">
    <cfRule type="cellIs" dxfId="8" priority="9" operator="greaterThan">
      <formula>0</formula>
    </cfRule>
  </conditionalFormatting>
  <conditionalFormatting sqref="AG27:AH30">
    <cfRule type="cellIs" dxfId="7" priority="8" operator="greaterThan">
      <formula>0</formula>
    </cfRule>
  </conditionalFormatting>
  <conditionalFormatting sqref="AH35">
    <cfRule type="cellIs" dxfId="6" priority="7" operator="greaterThan">
      <formula>0</formula>
    </cfRule>
  </conditionalFormatting>
  <conditionalFormatting sqref="G71:AR71 G61:AR61 G62:AO63 AO85:AQ85 AO86:AR86 G85:AN86 G84:AR84">
    <cfRule type="cellIs" dxfId="5" priority="6" operator="greaterThan">
      <formula>0</formula>
    </cfRule>
  </conditionalFormatting>
  <conditionalFormatting sqref="G68:AO68">
    <cfRule type="cellIs" dxfId="4" priority="5" operator="greaterThan">
      <formula>0</formula>
    </cfRule>
  </conditionalFormatting>
  <conditionalFormatting sqref="G81:AE81 AO81">
    <cfRule type="cellIs" dxfId="3" priority="4" operator="greaterThan">
      <formula>0</formula>
    </cfRule>
  </conditionalFormatting>
  <conditionalFormatting sqref="AQ72:AR74">
    <cfRule type="cellIs" dxfId="2" priority="3" operator="greaterThan">
      <formula>0</formula>
    </cfRule>
  </conditionalFormatting>
  <conditionalFormatting sqref="AR85">
    <cfRule type="cellIs" dxfId="1" priority="2" operator="greaterThan">
      <formula>0</formula>
    </cfRule>
  </conditionalFormatting>
  <conditionalFormatting sqref="AQ62:AR63">
    <cfRule type="cellIs" dxfId="0" priority="1" operator="greaterThan">
      <formula>0</formula>
    </cfRule>
  </conditionalFormatting>
  <pageMargins left="0.70866141732283472" right="0.70866141732283472" top="0.74803149606299213" bottom="0.74803149606299213" header="0.31496062992125984" footer="0.31496062992125984"/>
  <pageSetup paperSize="8" scale="36" fitToHeight="2" orientation="landscape" r:id="rId1"/>
  <headerFooter>
    <oddHeader>&amp;R&amp;G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851027-3a70-4d3e-a88c-9ffd1742fb73">
      <Terms xmlns="http://schemas.microsoft.com/office/infopath/2007/PartnerControls"/>
    </lcf76f155ced4ddcb4097134ff3c332f>
    <TaxCatchAll xmlns="c8be3005-bc00-436b-a40e-e25789cd5c5e" xsi:nil="true"/>
    <_dlc_DocId xmlns="c8be3005-bc00-436b-a40e-e25789cd5c5e">45N46CXHKS5P-1573500842-65664</_dlc_DocId>
    <_dlc_DocIdUrl xmlns="c8be3005-bc00-436b-a40e-e25789cd5c5e">
      <Url>https://fortiusproperty.sharepoint.com/sites/DocumentCenter/_layouts/15/DocIdRedir.aspx?ID=45N46CXHKS5P-1573500842-65664</Url>
      <Description>45N46CXHKS5P-1573500842-65664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F9FFD9FE3DE347928D07BA4D9A0C63" ma:contentTypeVersion="16" ma:contentTypeDescription="Create a new document." ma:contentTypeScope="" ma:versionID="1e2f14e3e87bf24d921cbfff8a64c5c5">
  <xsd:schema xmlns:xsd="http://www.w3.org/2001/XMLSchema" xmlns:xs="http://www.w3.org/2001/XMLSchema" xmlns:p="http://schemas.microsoft.com/office/2006/metadata/properties" xmlns:ns2="c8be3005-bc00-436b-a40e-e25789cd5c5e" xmlns:ns3="0b851027-3a70-4d3e-a88c-9ffd1742fb73" targetNamespace="http://schemas.microsoft.com/office/2006/metadata/properties" ma:root="true" ma:fieldsID="352e0ed1410eefa59ed1b1b6c52a7668" ns2:_="" ns3:_="">
    <xsd:import namespace="c8be3005-bc00-436b-a40e-e25789cd5c5e"/>
    <xsd:import namespace="0b851027-3a70-4d3e-a88c-9ffd1742fb73"/>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be3005-bc00-436b-a40e-e25789cd5c5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6a5e118e-437d-4042-9f7a-4aac6af0c6bc}" ma:internalName="TaxCatchAll" ma:showField="CatchAllData" ma:web="c8be3005-bc00-436b-a40e-e25789cd5c5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851027-3a70-4d3e-a88c-9ffd1742fb7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cd8ffa3-3d2e-43ca-8f4b-be3b5755c8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C13734-DA65-49C5-997D-1F9DDAD6CBD2}">
  <ds:schemaRefs>
    <ds:schemaRef ds:uri="http://schemas.microsoft.com/office/2006/documentManagement/types"/>
    <ds:schemaRef ds:uri="c8be3005-bc00-436b-a40e-e25789cd5c5e"/>
    <ds:schemaRef ds:uri="http://purl.org/dc/terms/"/>
    <ds:schemaRef ds:uri="http://schemas.microsoft.com/office/infopath/2007/PartnerControls"/>
    <ds:schemaRef ds:uri="http://purl.org/dc/dcmitype/"/>
    <ds:schemaRef ds:uri="http://purl.org/dc/elements/1.1/"/>
    <ds:schemaRef ds:uri="http://schemas.openxmlformats.org/package/2006/metadata/core-properties"/>
    <ds:schemaRef ds:uri="0b851027-3a70-4d3e-a88c-9ffd1742fb7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E800555-426B-4221-9E2B-7834872446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be3005-bc00-436b-a40e-e25789cd5c5e"/>
    <ds:schemaRef ds:uri="0b851027-3a70-4d3e-a88c-9ffd1742fb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6C97A3-C5DC-4577-BE33-6ED3985D3014}">
  <ds:schemaRefs>
    <ds:schemaRef ds:uri="http://schemas.microsoft.com/sharepoint/v3/contenttype/forms"/>
  </ds:schemaRefs>
</ds:datastoreItem>
</file>

<file path=customXml/itemProps4.xml><?xml version="1.0" encoding="utf-8"?>
<ds:datastoreItem xmlns:ds="http://schemas.openxmlformats.org/officeDocument/2006/customXml" ds:itemID="{C1F01585-7F49-4BCE-A359-E82BC358950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Summary Sheet</vt:lpstr>
      <vt:lpstr>Very Large Project</vt:lpstr>
      <vt:lpstr>Large Project</vt:lpstr>
      <vt:lpstr>Medium Project</vt:lpstr>
      <vt:lpstr>Small Project</vt:lpstr>
      <vt:lpstr>'Large Project'!Print_Area</vt:lpstr>
      <vt:lpstr>'Medium Project'!Print_Area</vt:lpstr>
      <vt:lpstr>'Small Project'!Print_Area</vt:lpstr>
      <vt:lpstr>'Summary Sheet'!Print_Area</vt:lpstr>
      <vt:lpstr>'Very Large Project'!Print_Area</vt:lpstr>
      <vt:lpstr>'Large Project'!Print_Titles</vt:lpstr>
      <vt:lpstr>'Medium Project'!Print_Titles</vt:lpstr>
      <vt:lpstr>'Small Project'!Print_Titles</vt:lpstr>
      <vt:lpstr>'Very Large Project'!Print_Titles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Baxter</dc:creator>
  <cp:lastModifiedBy>Kathy Hamill</cp:lastModifiedBy>
  <cp:lastPrinted>2022-05-25T23:03:05Z</cp:lastPrinted>
  <dcterms:created xsi:type="dcterms:W3CDTF">2020-03-19T04:13:09Z</dcterms:created>
  <dcterms:modified xsi:type="dcterms:W3CDTF">2022-09-20T04:48:20Z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0x010100C5F9FFD9FE3DE347928D07BA4D9A0C63</vt:lpwstr>
  </property>
  <property fmtid="{D5CDD505-2E9C-101B-9397-08002B2CF9AE}" pid="3" name="_dlc_DocIdItemGuid">
    <vt:lpwstr>da2936ed-bb38-43ee-ba97-84fa8e8929d9</vt:lpwstr>
  </property>
  <property fmtid="{D5CDD505-2E9C-101B-9397-08002B2CF9AE}" pid="4" name="MediaServiceImageTags">
    <vt:lpwstr/>
  </property>
</Properties>
</file>